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eroyalballetschool-my.sharepoint.com/personal/patrick_orkney_royalballetschool_org_uk/Documents/Documents/"/>
    </mc:Choice>
  </mc:AlternateContent>
  <xr:revisionPtr revIDLastSave="27" documentId="8_{53A3C79F-9BD1-405A-80CA-B68AC4755739}" xr6:coauthVersionLast="47" xr6:coauthVersionMax="47" xr10:uidLastSave="{9E675B3F-2CC6-482F-8583-6EF861CA15F0}"/>
  <bookViews>
    <workbookView xWindow="28680" yWindow="-7215" windowWidth="29040" windowHeight="15720" xr2:uid="{F803C050-D94F-4317-8A82-42E1511F00FA}"/>
  </bookViews>
  <sheets>
    <sheet name="Calculator" sheetId="2" r:id="rId1"/>
    <sheet name="Calculator - full view" sheetId="1" state="hidden" r:id="rId2"/>
  </sheets>
  <definedNames>
    <definedName name="solver_adj" localSheetId="1" hidden="1">'Calculator - full view'!$F$24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'Calculator - full view'!$F$25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'Calculator - full view'!$F$24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hs1" localSheetId="1" hidden="1">12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G3" i="1" l="1"/>
  <c r="F41" i="1" l="1"/>
  <c r="F40" i="1"/>
  <c r="N14" i="1"/>
  <c r="K35" i="1"/>
  <c r="J35" i="1"/>
  <c r="C35" i="1"/>
  <c r="K31" i="1"/>
  <c r="J31" i="1"/>
  <c r="F31" i="1"/>
  <c r="K30" i="1"/>
  <c r="J30" i="1"/>
  <c r="F30" i="1"/>
  <c r="K29" i="1"/>
  <c r="J29" i="1"/>
  <c r="F29" i="1"/>
  <c r="B24" i="1"/>
  <c r="K19" i="1"/>
  <c r="J19" i="1"/>
  <c r="C19" i="1"/>
  <c r="K15" i="1"/>
  <c r="J15" i="1"/>
  <c r="F15" i="1"/>
  <c r="K14" i="1"/>
  <c r="J14" i="1"/>
  <c r="F14" i="1"/>
  <c r="K13" i="1"/>
  <c r="J13" i="1"/>
  <c r="F13" i="1"/>
  <c r="K12" i="1"/>
  <c r="J12" i="1"/>
  <c r="F12" i="1"/>
  <c r="K11" i="1"/>
  <c r="J11" i="1"/>
  <c r="F11" i="1"/>
  <c r="K10" i="1"/>
  <c r="J10" i="1"/>
  <c r="F10" i="1"/>
  <c r="F17" i="1" s="1"/>
  <c r="F33" i="1" l="1"/>
  <c r="N11" i="1"/>
  <c r="N31" i="1"/>
  <c r="M13" i="1"/>
  <c r="M15" i="1"/>
  <c r="N35" i="1"/>
  <c r="O35" i="1" s="1"/>
  <c r="G35" i="1" s="1"/>
  <c r="I35" i="1" s="1"/>
  <c r="H35" i="1" s="1"/>
  <c r="M12" i="1"/>
  <c r="N19" i="1"/>
  <c r="O19" i="1" s="1"/>
  <c r="G19" i="1" s="1"/>
  <c r="I19" i="1" s="1"/>
  <c r="H19" i="1" s="1"/>
  <c r="M30" i="1"/>
  <c r="N15" i="1"/>
  <c r="N29" i="1"/>
  <c r="O29" i="1" s="1"/>
  <c r="G29" i="1" s="1"/>
  <c r="I29" i="1" s="1"/>
  <c r="H29" i="1" s="1"/>
  <c r="N12" i="1"/>
  <c r="N10" i="1"/>
  <c r="O10" i="1" s="1"/>
  <c r="G10" i="1" s="1"/>
  <c r="M11" i="1"/>
  <c r="G22" i="1"/>
  <c r="N30" i="1"/>
  <c r="M31" i="1"/>
  <c r="N13" i="1"/>
  <c r="M14" i="1"/>
  <c r="O14" i="1" s="1"/>
  <c r="G14" i="1" s="1"/>
  <c r="I14" i="1" s="1"/>
  <c r="H14" i="1" s="1"/>
  <c r="O11" i="1" l="1"/>
  <c r="G11" i="1" s="1"/>
  <c r="I11" i="1" s="1"/>
  <c r="H11" i="1" s="1"/>
  <c r="O31" i="1"/>
  <c r="G31" i="1" s="1"/>
  <c r="I31" i="1" s="1"/>
  <c r="H31" i="1" s="1"/>
  <c r="O12" i="1"/>
  <c r="G12" i="1" s="1"/>
  <c r="I12" i="1" s="1"/>
  <c r="H12" i="1" s="1"/>
  <c r="O15" i="1"/>
  <c r="G15" i="1" s="1"/>
  <c r="I15" i="1" s="1"/>
  <c r="H15" i="1" s="1"/>
  <c r="O30" i="1"/>
  <c r="G30" i="1" s="1"/>
  <c r="I30" i="1" s="1"/>
  <c r="H30" i="1" s="1"/>
  <c r="O13" i="1"/>
  <c r="G13" i="1" s="1"/>
  <c r="I13" i="1" s="1"/>
  <c r="H13" i="1" s="1"/>
  <c r="I10" i="1"/>
  <c r="H10" i="1" s="1"/>
  <c r="H22" i="1" l="1"/>
  <c r="G41" i="1" s="1"/>
  <c r="H3" i="1"/>
  <c r="G40" i="1" l="1"/>
  <c r="D9" i="2"/>
  <c r="I40" i="1" a="1"/>
  <c r="I40" i="1" s="1"/>
  <c r="I41" i="1" a="1"/>
  <c r="I41" i="1" s="1"/>
  <c r="H40" i="1"/>
  <c r="H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<sst xmlns="http://schemas.openxmlformats.org/spreadsheetml/2006/main" count="58" uniqueCount="33">
  <si>
    <t>Scale for one Aided BOARDING Pupil</t>
  </si>
  <si>
    <t>Academic Year</t>
  </si>
  <si>
    <t>Threshold</t>
  </si>
  <si>
    <t>Min contr.</t>
  </si>
  <si>
    <t>TOTAL</t>
  </si>
  <si>
    <t>RELEVANT</t>
  </si>
  <si>
    <t>PARENTS</t>
  </si>
  <si>
    <t>RELEVANT INCOME</t>
  </si>
  <si>
    <t>Bandwidth</t>
  </si>
  <si>
    <t>%age</t>
  </si>
  <si>
    <t>Amount</t>
  </si>
  <si>
    <t>INCOME</t>
  </si>
  <si>
    <t>CONTRIB</t>
  </si>
  <si>
    <t>(Working)</t>
  </si>
  <si>
    <t>Each of 2 (%)</t>
  </si>
  <si>
    <t>Each of 3 (%)</t>
  </si>
  <si>
    <t>Under band</t>
  </si>
  <si>
    <t>Over band</t>
  </si>
  <si>
    <t>Part between</t>
  </si>
  <si>
    <t>Total</t>
  </si>
  <si>
    <t>Part exceeding</t>
  </si>
  <si>
    <t>Scale for one Aided DAY Pupil</t>
  </si>
  <si>
    <t>Assessable income</t>
  </si>
  <si>
    <t>2022/23</t>
  </si>
  <si>
    <r>
      <t xml:space="preserve">Enter your </t>
    </r>
    <r>
      <rPr>
        <b/>
        <sz val="14"/>
        <color theme="1"/>
        <rFont val="Calibri"/>
        <family val="2"/>
        <scheme val="minor"/>
      </rPr>
      <t>gross</t>
    </r>
    <r>
      <rPr>
        <sz val="14"/>
        <color theme="1"/>
        <rFont val="Calibri"/>
        <family val="2"/>
        <scheme val="minor"/>
      </rPr>
      <t xml:space="preserve"> household income in GBP £ (before tax and outgoings)</t>
    </r>
  </si>
  <si>
    <r>
      <t xml:space="preserve">Enter the number of </t>
    </r>
    <r>
      <rPr>
        <b/>
        <sz val="14"/>
        <color theme="1"/>
        <rFont val="Calibri"/>
        <family val="2"/>
        <scheme val="minor"/>
      </rPr>
      <t>other</t>
    </r>
    <r>
      <rPr>
        <sz val="14"/>
        <color theme="1"/>
        <rFont val="Calibri"/>
        <family val="2"/>
        <scheme val="minor"/>
      </rPr>
      <t xml:space="preserve"> children you have under the age of 21 and in full time eduction</t>
    </r>
  </si>
  <si>
    <t>MUSIC AND DANCE SCHEME : PARENTAL CONTRIBUTION CALCULATOR 2023/24</t>
  </si>
  <si>
    <t>&lt;45000</t>
  </si>
  <si>
    <t>45k - 105k</t>
  </si>
  <si>
    <t>105k - 165k</t>
  </si>
  <si>
    <t>&gt; 165k</t>
  </si>
  <si>
    <t>VAT contribution</t>
  </si>
  <si>
    <t>Fees payable for one 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</si>
</sst>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0;\(#,##0.00\)"/>
    <numFmt numFmtId="166" formatCode="#,##0;\(#,##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8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66">
    <xf numFmtId="0" fontId="0" fillId="0" borderId="0" xfId="0"/>
    <xf numFmtId="0" fontId="3" fillId="0" borderId="0" xfId="2" applyFont="1"/>
    <xf numFmtId="0" fontId="4" fillId="0" borderId="0" xfId="2" applyFont="1"/>
    <xf numFmtId="165" fontId="4" fillId="0" borderId="0" xfId="2" applyNumberFormat="1" applyFont="1"/>
    <xf numFmtId="0" fontId="5" fillId="0" borderId="0" xfId="2" applyFont="1"/>
    <xf numFmtId="17" fontId="6" fillId="0" borderId="0" xfId="2" quotePrefix="1" applyNumberFormat="1" applyFont="1" applyAlignment="1">
      <alignment horizontal="left"/>
    </xf>
    <xf numFmtId="0" fontId="5" fillId="2" borderId="0" xfId="2" applyFont="1" applyFill="1"/>
    <xf numFmtId="0" fontId="7" fillId="0" borderId="0" xfId="2" applyFont="1"/>
    <xf numFmtId="0" fontId="7" fillId="0" borderId="0" xfId="2" applyFont="1" applyAlignment="1">
      <alignment horizontal="center"/>
    </xf>
    <xf numFmtId="166" fontId="4" fillId="0" borderId="1" xfId="2" applyNumberFormat="1" applyFont="1" applyBorder="1"/>
    <xf numFmtId="0" fontId="8" fillId="0" borderId="0" xfId="2" applyFont="1"/>
    <xf numFmtId="166" fontId="8" fillId="0" borderId="0" xfId="2" applyNumberFormat="1" applyFont="1"/>
    <xf numFmtId="0" fontId="4" fillId="3" borderId="0" xfId="2" applyFont="1" applyFill="1"/>
    <xf numFmtId="0" fontId="8" fillId="3" borderId="0" xfId="2" applyFont="1" applyFill="1"/>
    <xf numFmtId="0" fontId="4" fillId="0" borderId="0" xfId="2" applyFont="1" applyAlignment="1">
      <alignment horizontal="right"/>
    </xf>
    <xf numFmtId="165" fontId="5" fillId="0" borderId="0" xfId="2" applyNumberFormat="1" applyFont="1" applyAlignment="1">
      <alignment horizontal="right"/>
    </xf>
    <xf numFmtId="0" fontId="5" fillId="4" borderId="0" xfId="2" applyFont="1" applyFill="1"/>
    <xf numFmtId="0" fontId="4" fillId="4" borderId="0" xfId="2" applyFont="1" applyFill="1"/>
    <xf numFmtId="0" fontId="9" fillId="4" borderId="0" xfId="2" applyFont="1" applyFill="1" applyAlignment="1">
      <alignment horizontal="center"/>
    </xf>
    <xf numFmtId="3" fontId="4" fillId="0" borderId="0" xfId="2" applyNumberFormat="1" applyFont="1"/>
    <xf numFmtId="3" fontId="10" fillId="0" borderId="0" xfId="2" applyNumberFormat="1" applyFont="1"/>
    <xf numFmtId="164" fontId="8" fillId="0" borderId="0" xfId="1" applyFont="1" applyFill="1" applyProtection="1"/>
    <xf numFmtId="165" fontId="10" fillId="0" borderId="0" xfId="2" applyNumberFormat="1" applyFont="1"/>
    <xf numFmtId="3" fontId="8" fillId="3" borderId="0" xfId="2" applyNumberFormat="1" applyFont="1" applyFill="1" applyProtection="1">
      <protection locked="0"/>
    </xf>
    <xf numFmtId="166" fontId="11" fillId="0" borderId="0" xfId="2" applyNumberFormat="1" applyFont="1"/>
    <xf numFmtId="166" fontId="5" fillId="4" borderId="0" xfId="2" applyNumberFormat="1" applyFont="1" applyFill="1"/>
    <xf numFmtId="2" fontId="9" fillId="4" borderId="0" xfId="2" applyNumberFormat="1" applyFont="1" applyFill="1"/>
    <xf numFmtId="164" fontId="4" fillId="0" borderId="0" xfId="1" applyFont="1" applyFill="1" applyProtection="1"/>
    <xf numFmtId="3" fontId="4" fillId="3" borderId="0" xfId="2" applyNumberFormat="1" applyFont="1" applyFill="1" applyProtection="1">
      <protection locked="0"/>
    </xf>
    <xf numFmtId="166" fontId="10" fillId="0" borderId="0" xfId="2" applyNumberFormat="1" applyFont="1"/>
    <xf numFmtId="164" fontId="5" fillId="0" borderId="0" xfId="1" applyFont="1" applyFill="1" applyAlignment="1" applyProtection="1">
      <alignment horizontal="right"/>
    </xf>
    <xf numFmtId="0" fontId="9" fillId="0" borderId="0" xfId="2" applyFont="1"/>
    <xf numFmtId="3" fontId="9" fillId="0" borderId="0" xfId="2" applyNumberFormat="1" applyFont="1"/>
    <xf numFmtId="164" fontId="12" fillId="0" borderId="0" xfId="1" applyFont="1" applyFill="1" applyProtection="1"/>
    <xf numFmtId="165" fontId="9" fillId="0" borderId="0" xfId="2" applyNumberFormat="1" applyFont="1"/>
    <xf numFmtId="3" fontId="12" fillId="3" borderId="0" xfId="2" applyNumberFormat="1" applyFont="1" applyFill="1" applyProtection="1">
      <protection locked="0"/>
    </xf>
    <xf numFmtId="166" fontId="13" fillId="0" borderId="0" xfId="2" applyNumberFormat="1" applyFont="1"/>
    <xf numFmtId="166" fontId="9" fillId="4" borderId="0" xfId="2" applyNumberFormat="1" applyFont="1" applyFill="1"/>
    <xf numFmtId="164" fontId="4" fillId="0" borderId="0" xfId="1" applyFont="1" applyProtection="1"/>
    <xf numFmtId="0" fontId="4" fillId="0" borderId="0" xfId="2" applyFont="1" applyProtection="1">
      <protection locked="0"/>
    </xf>
    <xf numFmtId="166" fontId="4" fillId="0" borderId="0" xfId="2" applyNumberFormat="1" applyFont="1"/>
    <xf numFmtId="166" fontId="4" fillId="0" borderId="1" xfId="2" applyNumberFormat="1" applyFont="1" applyBorder="1" applyProtection="1">
      <protection locked="0"/>
    </xf>
    <xf numFmtId="0" fontId="4" fillId="3" borderId="0" xfId="2" applyFont="1" applyFill="1" applyProtection="1">
      <protection locked="0"/>
    </xf>
    <xf numFmtId="0" fontId="8" fillId="3" borderId="0" xfId="2" applyFont="1" applyFill="1" applyProtection="1">
      <protection locked="0"/>
    </xf>
    <xf numFmtId="164" fontId="4" fillId="0" borderId="0" xfId="1" applyFont="1" applyAlignment="1" applyProtection="1">
      <alignment horizontal="right"/>
    </xf>
    <xf numFmtId="164" fontId="5" fillId="0" borderId="0" xfId="1" applyFont="1" applyAlignment="1" applyProtection="1">
      <alignment horizontal="right"/>
    </xf>
    <xf numFmtId="0" fontId="14" fillId="0" borderId="0" xfId="0" applyFont="1"/>
    <xf numFmtId="166" fontId="14" fillId="0" borderId="0" xfId="0" applyNumberFormat="1" applyFont="1"/>
    <xf numFmtId="0" fontId="14" fillId="0" borderId="2" xfId="0" applyFont="1" applyBorder="1"/>
    <xf numFmtId="0" fontId="14" fillId="0" borderId="3" xfId="0" applyFont="1" applyBorder="1"/>
    <xf numFmtId="166" fontId="14" fillId="0" borderId="3" xfId="0" applyNumberFormat="1" applyFont="1" applyBorder="1"/>
    <xf numFmtId="0" fontId="14" fillId="0" borderId="4" xfId="0" applyFont="1" applyBorder="1"/>
    <xf numFmtId="0" fontId="14" fillId="0" borderId="5" xfId="0" applyFont="1" applyBorder="1"/>
    <xf numFmtId="166" fontId="14" fillId="0" borderId="1" xfId="0" applyNumberFormat="1" applyFont="1" applyBorder="1"/>
    <xf numFmtId="0" fontId="14" fillId="0" borderId="6" xfId="0" applyFont="1" applyBorder="1"/>
    <xf numFmtId="0" fontId="15" fillId="0" borderId="5" xfId="0" applyFont="1" applyBorder="1"/>
    <xf numFmtId="0" fontId="15" fillId="0" borderId="0" xfId="0" applyFont="1"/>
    <xf numFmtId="166" fontId="15" fillId="5" borderId="1" xfId="0" applyNumberFormat="1" applyFont="1" applyFill="1" applyBorder="1"/>
    <xf numFmtId="0" fontId="15" fillId="0" borderId="6" xfId="0" applyFont="1" applyBorder="1"/>
    <xf numFmtId="0" fontId="14" fillId="0" borderId="7" xfId="0" applyFont="1" applyBorder="1"/>
    <xf numFmtId="0" fontId="14" fillId="0" borderId="8" xfId="0" applyFont="1" applyBorder="1"/>
    <xf numFmtId="166" fontId="14" fillId="0" borderId="8" xfId="0" applyNumberFormat="1" applyFont="1" applyBorder="1"/>
    <xf numFmtId="0" fontId="14" fillId="0" borderId="9" xfId="0" applyFont="1" applyBorder="1"/>
    <xf numFmtId="0" fontId="16" fillId="0" borderId="0" xfId="0" applyFont="1"/>
    <xf numFmtId="0" fontId="17" fillId="0" borderId="0" xfId="0" applyFont="1"/>
    <xf numFmtId="0" fontId="4" fillId="2" borderId="0" xfId="2" applyFont="1" applyFill="1"/>
  </cellXfs>
  <cellStyles count="3">
    <cellStyle name="Comma" xfId="1" builtinId="3"/>
    <cellStyle name="Normal" xfId="0" builtinId="0"/>
    <cellStyle name="Normal 2" xfId="2" xr:uid="{6B05FBFD-06D5-4B75-B2BA-EC237BC29B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2F45F-2221-4A06-8781-DADE3E125EFF}">
  <dimension ref="A1:E22"/>
  <sheetViews>
    <sheetView tabSelected="1" workbookViewId="0">
      <selection activeCell="B20" sqref="B20"/>
    </sheetView>
  </sheetViews>
  <sheetFormatPr defaultColWidth="8.7265625" defaultRowHeight="18.5" x14ac:dyDescent="0.45"/>
  <cols>
    <col min="1" max="1" width="3.26953125" style="46" customWidth="1"/>
    <col min="2" max="2" width="95.54296875" style="46" bestFit="1" customWidth="1"/>
    <col min="3" max="3" width="2.7265625" style="46" customWidth="1"/>
    <col min="4" max="4" width="15.7265625" style="47" customWidth="1"/>
    <col min="5" max="16384" width="8.7265625" style="46"/>
  </cols>
  <sheetData>
    <row r="1" spans="1:5" ht="19" thickBot="1" x14ac:dyDescent="0.5"/>
    <row r="2" spans="1:5" ht="19" thickBot="1" x14ac:dyDescent="0.5">
      <c r="A2" s="48"/>
      <c r="B2" s="49"/>
      <c r="C2" s="49"/>
      <c r="D2" s="50"/>
      <c r="E2" s="51"/>
    </row>
    <row r="3" spans="1:5" ht="19" thickBot="1" x14ac:dyDescent="0.5">
      <c r="A3" s="52"/>
      <c r="B3" s="46" t="s">
        <v>24</v>
      </c>
      <c r="D3" s="53">
        <v>0</v>
      </c>
      <c r="E3" s="54"/>
    </row>
    <row r="4" spans="1:5" ht="19" thickBot="1" x14ac:dyDescent="0.5">
      <c r="A4" s="52"/>
      <c r="E4" s="54"/>
    </row>
    <row r="5" spans="1:5" ht="19" thickBot="1" x14ac:dyDescent="0.5">
      <c r="A5" s="52"/>
      <c r="B5" s="46" t="s">
        <v>25</v>
      </c>
      <c r="D5" s="53">
        <v>0</v>
      </c>
      <c r="E5" s="54"/>
    </row>
    <row r="6" spans="1:5" ht="19" thickBot="1" x14ac:dyDescent="0.5">
      <c r="A6" s="52"/>
      <c r="E6" s="54"/>
    </row>
    <row r="7" spans="1:5" s="56" customFormat="1" ht="19" thickBot="1" x14ac:dyDescent="0.5">
      <c r="A7" s="55"/>
      <c r="B7" s="56" t="s">
        <v>22</v>
      </c>
      <c r="D7" s="57">
        <f>D3-(2355*D5)</f>
        <v>0</v>
      </c>
      <c r="E7" s="58"/>
    </row>
    <row r="8" spans="1:5" ht="19" thickBot="1" x14ac:dyDescent="0.5">
      <c r="A8" s="52"/>
      <c r="E8" s="54"/>
    </row>
    <row r="9" spans="1:5" s="56" customFormat="1" ht="19" thickBot="1" x14ac:dyDescent="0.5">
      <c r="A9" s="55"/>
      <c r="B9" s="56" t="s">
        <v>32</v>
      </c>
      <c r="D9" s="57">
        <f>IF('Calculator - full view'!H3&gt;33353,33353,'Calculator - full view'!H3)</f>
        <v>0</v>
      </c>
      <c r="E9" s="58"/>
    </row>
    <row r="10" spans="1:5" ht="19" thickBot="1" x14ac:dyDescent="0.5">
      <c r="A10" s="59"/>
      <c r="B10" s="60"/>
      <c r="C10" s="60"/>
      <c r="D10" s="61"/>
      <c r="E10" s="62"/>
    </row>
    <row r="14" spans="1:5" x14ac:dyDescent="0.45">
      <c r="B14" s="63"/>
    </row>
    <row r="15" spans="1:5" x14ac:dyDescent="0.45">
      <c r="B15" s="64"/>
    </row>
    <row r="16" spans="1:5" x14ac:dyDescent="0.45">
      <c r="B16" s="64"/>
    </row>
    <row r="17" spans="2:2" x14ac:dyDescent="0.45">
      <c r="B17" s="64"/>
    </row>
    <row r="18" spans="2:2" x14ac:dyDescent="0.45">
      <c r="B18" s="64"/>
    </row>
    <row r="19" spans="2:2" x14ac:dyDescent="0.45">
      <c r="B19" s="64"/>
    </row>
    <row r="20" spans="2:2" x14ac:dyDescent="0.45">
      <c r="B20" s="64"/>
    </row>
    <row r="21" spans="2:2" x14ac:dyDescent="0.45">
      <c r="B21" s="64"/>
    </row>
    <row r="22" spans="2:2" x14ac:dyDescent="0.45">
      <c r="B22" s="6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53731-0E54-4BEA-BFE1-9A05949498FB}">
  <sheetPr codeName="Sheet22">
    <tabColor rgb="FF92D050"/>
  </sheetPr>
  <dimension ref="A1:P41"/>
  <sheetViews>
    <sheetView workbookViewId="0">
      <selection activeCell="H3" sqref="H3"/>
    </sheetView>
  </sheetViews>
  <sheetFormatPr defaultColWidth="9.1796875" defaultRowHeight="13" outlineLevelCol="1" x14ac:dyDescent="0.3"/>
  <cols>
    <col min="1" max="1" width="13.453125" style="2" customWidth="1"/>
    <col min="2" max="5" width="9.1796875" style="2"/>
    <col min="6" max="6" width="9.1796875" style="3"/>
    <col min="7" max="7" width="12.1796875" style="2" customWidth="1"/>
    <col min="8" max="8" width="11.26953125" style="2" customWidth="1"/>
    <col min="9" max="9" width="9.1796875" style="6"/>
    <col min="10" max="10" width="10.26953125" style="2" customWidth="1"/>
    <col min="11" max="12" width="10" style="2" customWidth="1"/>
    <col min="13" max="13" width="13.1796875" style="2" hidden="1" customWidth="1" outlineLevel="1"/>
    <col min="14" max="15" width="9.1796875" style="2" hidden="1" customWidth="1" outlineLevel="1"/>
    <col min="16" max="16" width="9.1796875" style="2" collapsed="1"/>
    <col min="17" max="16384" width="9.1796875" style="2"/>
  </cols>
  <sheetData>
    <row r="1" spans="1:15" ht="15.5" x14ac:dyDescent="0.35">
      <c r="A1" s="1" t="s">
        <v>26</v>
      </c>
      <c r="I1" s="4"/>
    </row>
    <row r="2" spans="1:15" ht="13.5" thickBot="1" x14ac:dyDescent="0.35">
      <c r="A2" s="5"/>
    </row>
    <row r="3" spans="1:15" ht="13.5" thickBot="1" x14ac:dyDescent="0.35">
      <c r="A3" s="7" t="s">
        <v>0</v>
      </c>
      <c r="B3" s="8"/>
      <c r="G3" s="9">
        <f>+Calculator!D7</f>
        <v>0</v>
      </c>
      <c r="H3" s="9">
        <f>IF(VLOOKUP(G3,$G$10:$H$19,2,0)&lt;0,0,(VLOOKUP(G3,$G$10:$H$19,2,0)))</f>
        <v>0</v>
      </c>
    </row>
    <row r="5" spans="1:15" x14ac:dyDescent="0.3">
      <c r="A5" s="2" t="s">
        <v>1</v>
      </c>
      <c r="B5" s="10" t="s">
        <v>23</v>
      </c>
      <c r="E5" s="2" t="s">
        <v>2</v>
      </c>
      <c r="F5" s="11">
        <v>13650</v>
      </c>
      <c r="G5" s="12"/>
    </row>
    <row r="6" spans="1:15" x14ac:dyDescent="0.3">
      <c r="E6" s="2" t="s">
        <v>3</v>
      </c>
      <c r="F6" s="3">
        <v>15</v>
      </c>
      <c r="G6" s="13" t="s">
        <v>4</v>
      </c>
      <c r="H6" s="10"/>
    </row>
    <row r="7" spans="1:15" x14ac:dyDescent="0.3">
      <c r="G7" s="13" t="s">
        <v>5</v>
      </c>
      <c r="H7" s="10" t="s">
        <v>6</v>
      </c>
    </row>
    <row r="8" spans="1:15" x14ac:dyDescent="0.3">
      <c r="A8" s="7" t="s">
        <v>7</v>
      </c>
      <c r="D8" s="2" t="s">
        <v>8</v>
      </c>
      <c r="E8" s="14" t="s">
        <v>9</v>
      </c>
      <c r="F8" s="15" t="s">
        <v>10</v>
      </c>
      <c r="G8" s="13" t="s">
        <v>11</v>
      </c>
      <c r="H8" s="10" t="s">
        <v>12</v>
      </c>
      <c r="I8" s="16" t="s">
        <v>13</v>
      </c>
      <c r="J8" s="17"/>
      <c r="K8" s="17"/>
      <c r="L8" s="17"/>
      <c r="M8" s="17"/>
      <c r="N8" s="17"/>
      <c r="O8" s="17"/>
    </row>
    <row r="9" spans="1:15" x14ac:dyDescent="0.3">
      <c r="G9" s="12"/>
      <c r="I9" s="16"/>
      <c r="J9" s="18" t="s">
        <v>14</v>
      </c>
      <c r="K9" s="18" t="s">
        <v>15</v>
      </c>
      <c r="L9" s="18"/>
      <c r="M9" s="17" t="s">
        <v>16</v>
      </c>
      <c r="N9" s="17" t="s">
        <v>17</v>
      </c>
      <c r="O9" s="17"/>
    </row>
    <row r="10" spans="1:15" x14ac:dyDescent="0.3">
      <c r="A10" s="4" t="s">
        <v>18</v>
      </c>
      <c r="B10" s="19">
        <v>13444.11</v>
      </c>
      <c r="C10" s="19">
        <v>16605.41</v>
      </c>
      <c r="D10" s="20">
        <v>3161.2999999999993</v>
      </c>
      <c r="E10" s="21">
        <v>6.1</v>
      </c>
      <c r="F10" s="22">
        <f t="shared" ref="F10:F15" si="0">(C10-B10+1)*E10/100</f>
        <v>192.90029999999996</v>
      </c>
      <c r="G10" s="23">
        <f t="shared" ref="G10:G15" si="1">IF(O10=2,$G$3,0)</f>
        <v>0</v>
      </c>
      <c r="H10" s="24">
        <f>INT(I10/3)*3</f>
        <v>-822</v>
      </c>
      <c r="I10" s="25">
        <f>((G10-B10+1)*E10/100)</f>
        <v>-820.02971000000002</v>
      </c>
      <c r="J10" s="26">
        <f t="shared" ref="J10:J15" si="2">E10*1.5/2</f>
        <v>4.5749999999999993</v>
      </c>
      <c r="K10" s="26">
        <f t="shared" ref="K10:K15" si="3">E10*1.75/3</f>
        <v>3.5583333333333331</v>
      </c>
      <c r="L10" s="26"/>
      <c r="M10" s="17"/>
      <c r="N10" s="17" t="str">
        <f>IF($G$3&lt;C10,"2","0")</f>
        <v>2</v>
      </c>
      <c r="O10" s="17">
        <f t="shared" ref="O10:O15" si="4">+M10+N10</f>
        <v>2</v>
      </c>
    </row>
    <row r="11" spans="1:15" x14ac:dyDescent="0.3">
      <c r="A11" s="4" t="s">
        <v>18</v>
      </c>
      <c r="B11" s="19">
        <v>16606.420000000002</v>
      </c>
      <c r="C11" s="19">
        <v>23522.9</v>
      </c>
      <c r="D11" s="20">
        <v>6916.48</v>
      </c>
      <c r="E11" s="21">
        <v>11.1</v>
      </c>
      <c r="F11" s="22">
        <f t="shared" si="0"/>
        <v>767.84027999999989</v>
      </c>
      <c r="G11" s="23">
        <f t="shared" si="1"/>
        <v>0</v>
      </c>
      <c r="H11" s="24">
        <f t="shared" ref="H11:H15" si="5">INT(I11/3)*3</f>
        <v>-1653</v>
      </c>
      <c r="I11" s="25">
        <f>((G11-B11+1)*E11/100)+F10</f>
        <v>-1650.30132</v>
      </c>
      <c r="J11" s="26">
        <f t="shared" si="2"/>
        <v>8.3249999999999993</v>
      </c>
      <c r="K11" s="26">
        <f t="shared" si="3"/>
        <v>6.4750000000000005</v>
      </c>
      <c r="L11" s="26"/>
      <c r="M11" s="17" t="str">
        <f>IF($G$3&gt;$B11,"1","0")</f>
        <v>0</v>
      </c>
      <c r="N11" s="17" t="str">
        <f>IF($G$3&lt;C11,"1","0")</f>
        <v>1</v>
      </c>
      <c r="O11" s="17">
        <f t="shared" si="4"/>
        <v>1</v>
      </c>
    </row>
    <row r="12" spans="1:15" x14ac:dyDescent="0.3">
      <c r="A12" s="4" t="s">
        <v>18</v>
      </c>
      <c r="B12" s="19">
        <v>23522.9</v>
      </c>
      <c r="C12" s="19">
        <v>34595.53</v>
      </c>
      <c r="D12" s="20">
        <v>11072.629999999997</v>
      </c>
      <c r="E12" s="21">
        <v>13.1</v>
      </c>
      <c r="F12" s="22">
        <f t="shared" si="0"/>
        <v>1450.6455299999996</v>
      </c>
      <c r="G12" s="23">
        <f t="shared" si="1"/>
        <v>0</v>
      </c>
      <c r="H12" s="24">
        <f t="shared" si="5"/>
        <v>-2121</v>
      </c>
      <c r="I12" s="25">
        <f>((G12-B12+1)*E12/100)+F10+F11</f>
        <v>-2120.6283200000003</v>
      </c>
      <c r="J12" s="26">
        <f t="shared" si="2"/>
        <v>9.8249999999999993</v>
      </c>
      <c r="K12" s="26">
        <f t="shared" si="3"/>
        <v>7.6416666666666666</v>
      </c>
      <c r="L12" s="26"/>
      <c r="M12" s="17" t="str">
        <f>IF($G$3&gt;$B12,"1","0")</f>
        <v>0</v>
      </c>
      <c r="N12" s="17" t="str">
        <f>IF($G$3&lt;C12,"1","0")</f>
        <v>1</v>
      </c>
      <c r="O12" s="17">
        <f t="shared" si="4"/>
        <v>1</v>
      </c>
    </row>
    <row r="13" spans="1:15" x14ac:dyDescent="0.3">
      <c r="A13" s="4" t="s">
        <v>18</v>
      </c>
      <c r="B13" s="19">
        <v>34595.53</v>
      </c>
      <c r="C13" s="19">
        <v>48431.519999999997</v>
      </c>
      <c r="D13" s="20">
        <v>13835.989999999998</v>
      </c>
      <c r="E13" s="21">
        <v>16.100000000000001</v>
      </c>
      <c r="F13" s="22">
        <f t="shared" si="0"/>
        <v>2227.7553899999998</v>
      </c>
      <c r="G13" s="23">
        <f t="shared" si="1"/>
        <v>0</v>
      </c>
      <c r="H13" s="24">
        <f t="shared" si="5"/>
        <v>-3159</v>
      </c>
      <c r="I13" s="25">
        <f>((G13-B13+1)*E13/100)+SUM(F10:F12)</f>
        <v>-3158.3332200000013</v>
      </c>
      <c r="J13" s="26">
        <f t="shared" si="2"/>
        <v>12.075000000000001</v>
      </c>
      <c r="K13" s="26">
        <f t="shared" si="3"/>
        <v>9.3916666666666675</v>
      </c>
      <c r="L13" s="26"/>
      <c r="M13" s="17" t="str">
        <f>IF($G$3&gt;$B13,"1","0")</f>
        <v>0</v>
      </c>
      <c r="N13" s="17" t="str">
        <f>IF($G$3&lt;C13,"1","0")</f>
        <v>1</v>
      </c>
      <c r="O13" s="17">
        <f t="shared" si="4"/>
        <v>1</v>
      </c>
    </row>
    <row r="14" spans="1:15" x14ac:dyDescent="0.3">
      <c r="A14" s="4" t="s">
        <v>18</v>
      </c>
      <c r="B14" s="19">
        <v>48432.53</v>
      </c>
      <c r="C14" s="19">
        <v>69225.399999999994</v>
      </c>
      <c r="D14" s="20">
        <v>20792.869999999995</v>
      </c>
      <c r="E14" s="21">
        <v>19.100000000000001</v>
      </c>
      <c r="F14" s="22">
        <f t="shared" si="0"/>
        <v>3971.6291699999997</v>
      </c>
      <c r="G14" s="23">
        <f t="shared" si="1"/>
        <v>0</v>
      </c>
      <c r="H14" s="24">
        <f t="shared" si="5"/>
        <v>-4614</v>
      </c>
      <c r="I14" s="25">
        <f>((G14-B14+1)*E14/100)+SUM(F10:F13)</f>
        <v>-4611.2807300000004</v>
      </c>
      <c r="J14" s="26">
        <f t="shared" si="2"/>
        <v>14.325000000000001</v>
      </c>
      <c r="K14" s="26">
        <f t="shared" si="3"/>
        <v>11.141666666666667</v>
      </c>
      <c r="L14" s="26"/>
      <c r="M14" s="17" t="str">
        <f>IF($G$3&gt;$B14,"1","0")</f>
        <v>0</v>
      </c>
      <c r="N14" s="17" t="str">
        <f>IF($G$3&lt;C14,"1","0")</f>
        <v>1</v>
      </c>
      <c r="O14" s="17">
        <f t="shared" si="4"/>
        <v>1</v>
      </c>
    </row>
    <row r="15" spans="1:15" x14ac:dyDescent="0.3">
      <c r="A15" s="4" t="s">
        <v>18</v>
      </c>
      <c r="B15" s="19">
        <v>69225.399999999994</v>
      </c>
      <c r="C15" s="19">
        <v>83030.080000000002</v>
      </c>
      <c r="D15" s="20">
        <v>13804.680000000008</v>
      </c>
      <c r="E15" s="21">
        <v>20.100000000000001</v>
      </c>
      <c r="F15" s="22">
        <f t="shared" si="0"/>
        <v>2774.9416800000017</v>
      </c>
      <c r="G15" s="23">
        <f t="shared" si="1"/>
        <v>0</v>
      </c>
      <c r="H15" s="24">
        <f t="shared" si="5"/>
        <v>-5304</v>
      </c>
      <c r="I15" s="25">
        <f>((G15-B15+1)*E15/100)+SUM(F10:F14)</f>
        <v>-5303.3337300000003</v>
      </c>
      <c r="J15" s="26">
        <f t="shared" si="2"/>
        <v>15.075000000000001</v>
      </c>
      <c r="K15" s="26">
        <f t="shared" si="3"/>
        <v>11.725000000000001</v>
      </c>
      <c r="L15" s="26"/>
      <c r="M15" s="17" t="str">
        <f>IF($G$3&gt;$B15,"1","0")</f>
        <v>0</v>
      </c>
      <c r="N15" s="17" t="str">
        <f>IF($G$3&lt;C15,"1","0")</f>
        <v>1</v>
      </c>
      <c r="O15" s="17">
        <f t="shared" si="4"/>
        <v>1</v>
      </c>
    </row>
    <row r="16" spans="1:15" x14ac:dyDescent="0.3">
      <c r="B16" s="19"/>
      <c r="C16" s="19"/>
      <c r="D16" s="19"/>
      <c r="E16" s="27"/>
      <c r="G16" s="28"/>
      <c r="H16" s="29"/>
      <c r="I16" s="25"/>
      <c r="J16" s="26"/>
      <c r="K16" s="26"/>
      <c r="L16" s="26"/>
      <c r="M16" s="17"/>
      <c r="N16" s="17"/>
      <c r="O16" s="17"/>
    </row>
    <row r="17" spans="1:15" x14ac:dyDescent="0.3">
      <c r="B17" s="19"/>
      <c r="C17" s="19"/>
      <c r="D17" s="19"/>
      <c r="E17" s="30" t="s">
        <v>19</v>
      </c>
      <c r="F17" s="22">
        <f>SUM(F10:F15)</f>
        <v>11385.712350000002</v>
      </c>
      <c r="G17" s="28"/>
      <c r="H17" s="29"/>
      <c r="I17" s="25"/>
      <c r="J17" s="26"/>
      <c r="K17" s="26"/>
      <c r="L17" s="26"/>
      <c r="M17" s="17"/>
      <c r="N17" s="17"/>
      <c r="O17" s="17"/>
    </row>
    <row r="18" spans="1:15" x14ac:dyDescent="0.3">
      <c r="A18" s="31"/>
      <c r="B18" s="32"/>
      <c r="C18" s="32"/>
      <c r="D18" s="19"/>
      <c r="E18" s="33"/>
      <c r="F18" s="34"/>
      <c r="G18" s="35"/>
      <c r="H18" s="36"/>
      <c r="I18" s="37"/>
      <c r="J18" s="26"/>
      <c r="K18" s="26"/>
      <c r="L18" s="26"/>
      <c r="M18" s="17"/>
      <c r="N18" s="17"/>
      <c r="O18" s="17"/>
    </row>
    <row r="19" spans="1:15" x14ac:dyDescent="0.3">
      <c r="A19" s="4" t="s">
        <v>20</v>
      </c>
      <c r="B19" s="19"/>
      <c r="C19" s="20">
        <f>C15</f>
        <v>83030.080000000002</v>
      </c>
      <c r="D19" s="19"/>
      <c r="E19" s="21">
        <v>21.1</v>
      </c>
      <c r="G19" s="23">
        <f>IF(O19=2,$G$3,0)</f>
        <v>0</v>
      </c>
      <c r="H19" s="24">
        <f>INT(I19/3)*3</f>
        <v>-6135</v>
      </c>
      <c r="I19" s="25">
        <f>((G19-C19)*E19/100)+F17</f>
        <v>-6133.6345299999994</v>
      </c>
      <c r="J19" s="26">
        <f>E19*1.5/2</f>
        <v>15.825000000000001</v>
      </c>
      <c r="K19" s="26">
        <f>E19*1.75/3</f>
        <v>12.308333333333335</v>
      </c>
      <c r="L19" s="26"/>
      <c r="M19" s="17"/>
      <c r="N19" s="17" t="str">
        <f>IF($G$3&gt;C19,"2","0")</f>
        <v>0</v>
      </c>
      <c r="O19" s="17">
        <f>+M19+N19</f>
        <v>0</v>
      </c>
    </row>
    <row r="20" spans="1:15" x14ac:dyDescent="0.3">
      <c r="D20" s="19"/>
      <c r="E20" s="38"/>
      <c r="G20" s="39"/>
      <c r="H20" s="40"/>
      <c r="I20" s="25"/>
      <c r="J20" s="16"/>
      <c r="K20" s="16"/>
      <c r="L20" s="16"/>
      <c r="M20" s="17"/>
      <c r="N20" s="17"/>
      <c r="O20" s="17"/>
    </row>
    <row r="21" spans="1:15" ht="13.5" thickBot="1" x14ac:dyDescent="0.35">
      <c r="D21" s="19"/>
      <c r="E21" s="38"/>
      <c r="G21" s="39"/>
      <c r="H21" s="40"/>
      <c r="I21" s="25"/>
      <c r="J21" s="16"/>
      <c r="K21" s="16"/>
      <c r="L21" s="16"/>
      <c r="M21" s="17"/>
      <c r="N21" s="17"/>
      <c r="O21" s="17"/>
    </row>
    <row r="22" spans="1:15" ht="13.5" thickBot="1" x14ac:dyDescent="0.35">
      <c r="A22" s="7" t="s">
        <v>21</v>
      </c>
      <c r="D22" s="19"/>
      <c r="E22" s="38"/>
      <c r="G22" s="41">
        <f>+G3</f>
        <v>0</v>
      </c>
      <c r="H22" s="9">
        <f>IF(VLOOKUP(G22,$G$29:$H$35,2,0)&lt;0,0,(VLOOKUP(G22,$G$29:$H$35,2,0)))</f>
        <v>0</v>
      </c>
      <c r="I22" s="25"/>
      <c r="J22" s="16"/>
      <c r="K22" s="16"/>
      <c r="L22" s="16"/>
      <c r="M22" s="17"/>
      <c r="N22" s="17"/>
      <c r="O22" s="17"/>
    </row>
    <row r="23" spans="1:15" x14ac:dyDescent="0.3">
      <c r="D23" s="19"/>
      <c r="E23" s="38"/>
      <c r="G23" s="39"/>
      <c r="H23" s="40"/>
      <c r="I23" s="25"/>
      <c r="J23" s="16"/>
      <c r="K23" s="16"/>
      <c r="L23" s="16"/>
      <c r="M23" s="17"/>
      <c r="N23" s="17"/>
      <c r="O23" s="17"/>
    </row>
    <row r="24" spans="1:15" x14ac:dyDescent="0.3">
      <c r="A24" s="2" t="s">
        <v>1</v>
      </c>
      <c r="B24" s="10" t="str">
        <f>B5</f>
        <v>2022/23</v>
      </c>
      <c r="E24" s="38" t="s">
        <v>2</v>
      </c>
      <c r="F24" s="11">
        <v>16980</v>
      </c>
      <c r="G24" s="42"/>
      <c r="H24" s="40"/>
      <c r="I24" s="25"/>
      <c r="J24" s="16"/>
      <c r="K24" s="17"/>
      <c r="L24" s="17"/>
      <c r="M24" s="17"/>
      <c r="N24" s="17"/>
      <c r="O24" s="17"/>
    </row>
    <row r="25" spans="1:15" x14ac:dyDescent="0.3">
      <c r="C25" s="4"/>
      <c r="D25" s="19"/>
      <c r="E25" s="38" t="s">
        <v>3</v>
      </c>
      <c r="F25" s="3">
        <v>15</v>
      </c>
      <c r="G25" s="43" t="s">
        <v>4</v>
      </c>
      <c r="H25" s="11"/>
      <c r="I25" s="25"/>
      <c r="J25" s="16"/>
      <c r="K25" s="16"/>
      <c r="L25" s="16"/>
      <c r="M25" s="17"/>
      <c r="N25" s="17"/>
      <c r="O25" s="17"/>
    </row>
    <row r="26" spans="1:15" x14ac:dyDescent="0.3">
      <c r="D26" s="19"/>
      <c r="E26" s="38"/>
      <c r="G26" s="43" t="s">
        <v>5</v>
      </c>
      <c r="H26" s="11" t="s">
        <v>6</v>
      </c>
      <c r="I26" s="25"/>
      <c r="J26" s="16"/>
      <c r="K26" s="16"/>
      <c r="L26" s="16"/>
      <c r="M26" s="17"/>
      <c r="N26" s="17"/>
      <c r="O26" s="17"/>
    </row>
    <row r="27" spans="1:15" x14ac:dyDescent="0.3">
      <c r="A27" s="7" t="s">
        <v>7</v>
      </c>
      <c r="D27" s="19" t="s">
        <v>8</v>
      </c>
      <c r="E27" s="44" t="s">
        <v>9</v>
      </c>
      <c r="F27" s="15" t="s">
        <v>10</v>
      </c>
      <c r="G27" s="43" t="s">
        <v>11</v>
      </c>
      <c r="H27" s="11" t="s">
        <v>12</v>
      </c>
      <c r="I27" s="25" t="s">
        <v>13</v>
      </c>
      <c r="J27" s="16"/>
      <c r="K27" s="16"/>
      <c r="L27" s="16"/>
      <c r="M27" s="17"/>
      <c r="N27" s="17"/>
      <c r="O27" s="17"/>
    </row>
    <row r="28" spans="1:15" x14ac:dyDescent="0.3">
      <c r="D28" s="19"/>
      <c r="E28" s="38"/>
      <c r="G28" s="42"/>
      <c r="H28" s="40"/>
      <c r="I28" s="25"/>
      <c r="J28" s="18" t="s">
        <v>14</v>
      </c>
      <c r="K28" s="18" t="s">
        <v>15</v>
      </c>
      <c r="L28" s="18"/>
      <c r="M28" s="17"/>
      <c r="N28" s="17"/>
      <c r="O28" s="17"/>
    </row>
    <row r="29" spans="1:15" x14ac:dyDescent="0.3">
      <c r="A29" s="4" t="s">
        <v>18</v>
      </c>
      <c r="B29" s="19">
        <v>16984</v>
      </c>
      <c r="C29" s="19">
        <v>48431</v>
      </c>
      <c r="D29" s="20">
        <v>31447</v>
      </c>
      <c r="E29" s="21">
        <v>11.1</v>
      </c>
      <c r="F29" s="22">
        <f>(C29-B29+1)*E29/100</f>
        <v>3490.7280000000001</v>
      </c>
      <c r="G29" s="23">
        <f>IF(O29=2,$G$3,0)</f>
        <v>0</v>
      </c>
      <c r="H29" s="24">
        <f>INT(I29/3)*3</f>
        <v>-1887</v>
      </c>
      <c r="I29" s="25">
        <f>((G29-B29+1)*E29/100)</f>
        <v>-1885.1129999999998</v>
      </c>
      <c r="J29" s="26">
        <f>E29*1.5/2</f>
        <v>8.3249999999999993</v>
      </c>
      <c r="K29" s="26">
        <f>E29*1.75/3</f>
        <v>6.4750000000000005</v>
      </c>
      <c r="L29" s="26"/>
      <c r="M29" s="17"/>
      <c r="N29" s="17" t="str">
        <f>IF($G$3&lt;C29,"2","0")</f>
        <v>2</v>
      </c>
      <c r="O29" s="17">
        <f>+M29+N29</f>
        <v>2</v>
      </c>
    </row>
    <row r="30" spans="1:15" x14ac:dyDescent="0.3">
      <c r="A30" s="4" t="s">
        <v>18</v>
      </c>
      <c r="B30" s="19">
        <v>48431</v>
      </c>
      <c r="C30" s="19">
        <v>55352</v>
      </c>
      <c r="D30" s="20">
        <v>6921</v>
      </c>
      <c r="E30" s="21">
        <v>12.1</v>
      </c>
      <c r="F30" s="22">
        <f>(C30-B30+1)*E30/100</f>
        <v>837.56200000000001</v>
      </c>
      <c r="G30" s="23">
        <f>IF(O30=2,$G$3,0)</f>
        <v>0</v>
      </c>
      <c r="H30" s="24">
        <f>INT(I30/3)*3</f>
        <v>-2370</v>
      </c>
      <c r="I30" s="25">
        <f>((G30-B30+1)*E30/100)+F29</f>
        <v>-2369.3019999999997</v>
      </c>
      <c r="J30" s="26">
        <f>E30*1.5/2</f>
        <v>9.0749999999999993</v>
      </c>
      <c r="K30" s="26">
        <f>E30*1.75/3</f>
        <v>7.0583333333333336</v>
      </c>
      <c r="L30" s="26"/>
      <c r="M30" s="17" t="str">
        <f>IF($G$3&gt;$B30,"1","0")</f>
        <v>0</v>
      </c>
      <c r="N30" s="17" t="str">
        <f>IF($G$3&lt;C30,"1","0")</f>
        <v>1</v>
      </c>
      <c r="O30" s="17">
        <f>+M30+N30</f>
        <v>1</v>
      </c>
    </row>
    <row r="31" spans="1:15" x14ac:dyDescent="0.3">
      <c r="A31" s="4" t="s">
        <v>18</v>
      </c>
      <c r="B31" s="19">
        <v>55352</v>
      </c>
      <c r="C31" s="19">
        <v>68870</v>
      </c>
      <c r="D31" s="20">
        <v>12837</v>
      </c>
      <c r="E31" s="21">
        <v>15.1</v>
      </c>
      <c r="F31" s="22">
        <f>(C31-B31+1)*E31/100</f>
        <v>2041.3689999999999</v>
      </c>
      <c r="G31" s="23">
        <f>IF(O31=2,$G$3,0)</f>
        <v>0</v>
      </c>
      <c r="H31" s="24">
        <f>INT(I31/3)*3</f>
        <v>-4032</v>
      </c>
      <c r="I31" s="25">
        <f>((G31-B31+1)*E31/100)+SUM(F29:F30)</f>
        <v>-4029.7110000000002</v>
      </c>
      <c r="J31" s="26">
        <f>E31*1.5/2</f>
        <v>11.324999999999999</v>
      </c>
      <c r="K31" s="26">
        <f>E31*1.75/3</f>
        <v>8.8083333333333336</v>
      </c>
      <c r="L31" s="26"/>
      <c r="M31" s="17" t="str">
        <f>IF($G$3&gt;$B31,"1","0")</f>
        <v>0</v>
      </c>
      <c r="N31" s="17" t="str">
        <f>IF($G$3&lt;C31,"1","0")</f>
        <v>1</v>
      </c>
      <c r="O31" s="17">
        <f>+M31+N31</f>
        <v>1</v>
      </c>
    </row>
    <row r="32" spans="1:15" x14ac:dyDescent="0.3">
      <c r="B32" s="19"/>
      <c r="C32" s="19"/>
      <c r="D32" s="19"/>
      <c r="E32" s="38"/>
      <c r="G32" s="28"/>
      <c r="H32" s="29"/>
      <c r="I32" s="25"/>
      <c r="J32" s="26"/>
      <c r="K32" s="26"/>
      <c r="L32" s="26"/>
      <c r="M32" s="17"/>
      <c r="N32" s="17"/>
      <c r="O32" s="17"/>
    </row>
    <row r="33" spans="1:15" x14ac:dyDescent="0.3">
      <c r="B33" s="19"/>
      <c r="C33" s="19"/>
      <c r="D33" s="19"/>
      <c r="E33" s="45" t="s">
        <v>19</v>
      </c>
      <c r="F33" s="3">
        <f>SUM(F29:F31)</f>
        <v>6369.6589999999997</v>
      </c>
      <c r="G33" s="28"/>
      <c r="H33" s="29"/>
      <c r="I33" s="25"/>
      <c r="J33" s="26"/>
      <c r="K33" s="26"/>
      <c r="L33" s="26"/>
      <c r="M33" s="17"/>
      <c r="N33" s="17"/>
      <c r="O33" s="17"/>
    </row>
    <row r="34" spans="1:15" x14ac:dyDescent="0.3">
      <c r="B34" s="19"/>
      <c r="C34" s="19"/>
      <c r="D34" s="19"/>
      <c r="E34" s="38"/>
      <c r="G34" s="28"/>
      <c r="H34" s="29"/>
      <c r="I34" s="25"/>
      <c r="J34" s="26"/>
      <c r="K34" s="26"/>
      <c r="L34" s="26"/>
      <c r="M34" s="17"/>
      <c r="N34" s="17"/>
      <c r="O34" s="17"/>
    </row>
    <row r="35" spans="1:15" x14ac:dyDescent="0.3">
      <c r="A35" s="4" t="s">
        <v>20</v>
      </c>
      <c r="B35" s="19"/>
      <c r="C35" s="20">
        <f>C31</f>
        <v>68870</v>
      </c>
      <c r="D35" s="19"/>
      <c r="E35" s="21">
        <v>16.100000000000001</v>
      </c>
      <c r="G35" s="23">
        <f>IF(O35=2,$G$3,0)</f>
        <v>0</v>
      </c>
      <c r="H35" s="24">
        <f>INT(I35/3)*3</f>
        <v>-4719</v>
      </c>
      <c r="I35" s="25">
        <f>((G35-C35)*E35/100)+F33</f>
        <v>-4718.4110000000001</v>
      </c>
      <c r="J35" s="26">
        <f>E35*1.5/2</f>
        <v>12.075000000000001</v>
      </c>
      <c r="K35" s="26">
        <f>E35*1.75/3</f>
        <v>9.3916666666666675</v>
      </c>
      <c r="L35" s="26"/>
      <c r="M35" s="17"/>
      <c r="N35" s="17" t="str">
        <f>IF($G$3&gt;C35,"2","0")</f>
        <v>0</v>
      </c>
      <c r="O35" s="17">
        <f>+M35+N35</f>
        <v>0</v>
      </c>
    </row>
    <row r="38" spans="1:15" x14ac:dyDescent="0.3">
      <c r="G38" s="2" t="s">
        <v>31</v>
      </c>
    </row>
    <row r="39" spans="1:15" x14ac:dyDescent="0.3">
      <c r="F39" s="3" t="s">
        <v>27</v>
      </c>
      <c r="G39" s="2" t="s">
        <v>28</v>
      </c>
      <c r="H39" s="2" t="s">
        <v>29</v>
      </c>
      <c r="I39" s="65" t="s">
        <v>30</v>
      </c>
    </row>
    <row r="40" spans="1:15" x14ac:dyDescent="0.3">
      <c r="F40" s="3">
        <f>IF(G3&lt;45000,0,0)</f>
        <v>0</v>
      </c>
      <c r="G40" s="2">
        <f>IF(AND(G3&gt;45000,G3&lt;105000),H3*8%,0)</f>
        <v>0</v>
      </c>
      <c r="H40" s="2">
        <f>IF(AND(G3&gt;105000,G3&lt;165000),H3*12%,0)</f>
        <v>0</v>
      </c>
      <c r="I40" s="65" t="e" cm="1">
        <f t="array" ref="I40">_xlfn.IFS(AND(G3&gt;165000,H3&lt;38171),H3*20%,AND(G3&gt;165000,H3&gt;38171),38171*20%)</f>
        <v>#N/A</v>
      </c>
    </row>
    <row r="41" spans="1:15" x14ac:dyDescent="0.3">
      <c r="F41" s="3">
        <f>IF(G3&lt;45000,0,0)</f>
        <v>0</v>
      </c>
      <c r="G41" s="2">
        <f>IF(AND(G3&gt;45000,G3&lt;105000),H22*8%,0)</f>
        <v>0</v>
      </c>
      <c r="H41" s="2">
        <f>IF(AND(G3&gt;105000,G3&lt;165000),H22*12%,0)</f>
        <v>0</v>
      </c>
      <c r="I41" s="6" t="e" cm="1">
        <f t="array" ref="I41">_xlfn.IFS(AND(G3&gt;165000,H22&lt;28297),H22*20%,AND(G3&gt;165000,H22&gt;28297),28297*20%)</f>
        <v>#N/A</v>
      </c>
    </row>
  </sheetData>
  <pageMargins left="0.75" right="0.75" top="1" bottom="1" header="0.5" footer="0.5"/>
  <pageSetup paperSize="9" orientation="landscape" horizont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D5AE0B2F9E348BBDB4AEA226B4A31" ma:contentTypeVersion="10" ma:contentTypeDescription="Create a new document." ma:contentTypeScope="" ma:versionID="b2f48aaf1fa97d36284a151fcd5bd58e">
  <xsd:schema xmlns:xsd="http://www.w3.org/2001/XMLSchema" xmlns:xs="http://www.w3.org/2001/XMLSchema" xmlns:p="http://schemas.microsoft.com/office/2006/metadata/properties" xmlns:ns2="820a1317-0d68-4a2e-983c-b09b4b65bf4c" xmlns:ns3="9ea5d194-e8a0-4283-9efb-54ba8515aa6b" targetNamespace="http://schemas.microsoft.com/office/2006/metadata/properties" ma:root="true" ma:fieldsID="644a2feabe70b03d2fc39bb881c73cc0" ns2:_="" ns3:_="">
    <xsd:import namespace="820a1317-0d68-4a2e-983c-b09b4b65bf4c"/>
    <xsd:import namespace="9ea5d194-e8a0-4283-9efb-54ba8515aa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0a1317-0d68-4a2e-983c-b09b4b65bf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1bc2cb2-5277-40cf-83eb-6a055aa045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a5d194-e8a0-4283-9efb-54ba8515aa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5bfe8ac-c3c1-4f8a-bae6-1c158aab828d}" ma:internalName="TaxCatchAll" ma:showField="CatchAllData" ma:web="9ea5d194-e8a0-4283-9efb-54ba8515aa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0a1317-0d68-4a2e-983c-b09b4b65bf4c">
      <Terms xmlns="http://schemas.microsoft.com/office/infopath/2007/PartnerControls"/>
    </lcf76f155ced4ddcb4097134ff3c332f>
    <TaxCatchAll xmlns="9ea5d194-e8a0-4283-9efb-54ba8515aa6b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9753D9-C045-4A4C-97FB-EEB02CEAB4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0a1317-0d68-4a2e-983c-b09b4b65bf4c"/>
    <ds:schemaRef ds:uri="9ea5d194-e8a0-4283-9efb-54ba8515aa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575FE6-DE17-492E-A165-648FCFF58156}">
  <ds:schemaRefs>
    <ds:schemaRef ds:uri="820a1317-0d68-4a2e-983c-b09b4b65bf4c"/>
    <ds:schemaRef ds:uri="http://schemas.microsoft.com/office/2006/documentManagement/types"/>
    <ds:schemaRef ds:uri="9ea5d194-e8a0-4283-9efb-54ba8515aa6b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78713C5-429B-4D3D-B143-5DED1B7F03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Calculator - full view</vt:lpstr>
    </vt:vector>
  </TitlesOfParts>
  <Company>Royal Ballet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Pippa Adamson</dc:creator>
  <cp:lastModifiedBy>Patrick Orkney</cp:lastModifiedBy>
  <dcterms:created xsi:type="dcterms:W3CDTF">2022-09-05T10:02:48Z</dcterms:created>
  <dcterms:modified xsi:type="dcterms:W3CDTF">2026-01-28T09:08:45Z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0x01010004BD5AE0B2F9E348BBDB4AEA226B4A31</vt:lpwstr>
  </property>
</Properties>
</file>