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oyalballetschool-my.sharepoint.com/personal/patrick_orkney_royalballetschool_org_uk/Documents/Documents/"/>
    </mc:Choice>
  </mc:AlternateContent>
  <xr:revisionPtr revIDLastSave="23" documentId="8_{8E5CDA88-1E5F-45CD-AD3B-C555053BF195}" xr6:coauthVersionLast="47" xr6:coauthVersionMax="47" xr10:uidLastSave="{60563DD1-98C8-4704-8C78-80D150D45648}"/>
  <bookViews>
    <workbookView xWindow="-110" yWindow="-110" windowWidth="19420" windowHeight="11500" xr2:uid="{F803C050-D94F-4317-8A82-42E1511F00FA}"/>
  </bookViews>
  <sheets>
    <sheet name="Calculator" sheetId="2" r:id="rId1"/>
    <sheet name="One Aided Place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" l="1"/>
  <c r="G42" i="3"/>
  <c r="D7" i="2"/>
  <c r="G22" i="3" s="1"/>
  <c r="G30" i="3" s="1"/>
  <c r="F35" i="3"/>
  <c r="D35" i="3"/>
  <c r="F34" i="3"/>
  <c r="D34" i="3"/>
  <c r="M33" i="3"/>
  <c r="L33" i="3"/>
  <c r="F33" i="3"/>
  <c r="D33" i="3"/>
  <c r="M32" i="3"/>
  <c r="L32" i="3"/>
  <c r="F32" i="3"/>
  <c r="D32" i="3"/>
  <c r="M31" i="3"/>
  <c r="L31" i="3"/>
  <c r="F31" i="3"/>
  <c r="D31" i="3"/>
  <c r="F30" i="3"/>
  <c r="D30" i="3"/>
  <c r="J28" i="3"/>
  <c r="L28" i="3" s="1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G3" i="3" l="1"/>
  <c r="G12" i="3" s="1"/>
  <c r="J30" i="3"/>
  <c r="I30" i="3"/>
  <c r="G35" i="3"/>
  <c r="G32" i="3"/>
  <c r="G36" i="3"/>
  <c r="G34" i="3"/>
  <c r="G31" i="3"/>
  <c r="G29" i="3"/>
  <c r="G33" i="3"/>
  <c r="G16" i="3" l="1"/>
  <c r="J16" i="3" s="1"/>
  <c r="G15" i="3"/>
  <c r="J15" i="3" s="1"/>
  <c r="G18" i="3"/>
  <c r="I18" i="3" s="1"/>
  <c r="G13" i="3"/>
  <c r="J13" i="3" s="1"/>
  <c r="G14" i="3"/>
  <c r="I14" i="3" s="1"/>
  <c r="G11" i="3"/>
  <c r="J11" i="3" s="1"/>
  <c r="G10" i="3"/>
  <c r="G17" i="3"/>
  <c r="J17" i="3" s="1"/>
  <c r="G19" i="3"/>
  <c r="I47" i="3"/>
  <c r="I46" i="3"/>
  <c r="I41" i="3"/>
  <c r="J36" i="3"/>
  <c r="I36" i="3"/>
  <c r="J35" i="3"/>
  <c r="I35" i="3"/>
  <c r="M30" i="3"/>
  <c r="K30" i="3"/>
  <c r="H30" i="3" s="1" a="1"/>
  <c r="H30" i="3" s="1"/>
  <c r="I33" i="3"/>
  <c r="K33" i="3"/>
  <c r="H33" i="3" s="1"/>
  <c r="K32" i="3"/>
  <c r="H32" i="3" s="1"/>
  <c r="I32" i="3"/>
  <c r="K31" i="3"/>
  <c r="H31" i="3" s="1"/>
  <c r="I31" i="3"/>
  <c r="I12" i="3"/>
  <c r="J12" i="3"/>
  <c r="J34" i="3"/>
  <c r="I34" i="3"/>
  <c r="I15" i="3" l="1"/>
  <c r="J18" i="3"/>
  <c r="K18" i="3" s="1"/>
  <c r="H18" i="3" s="1"/>
  <c r="I16" i="3"/>
  <c r="I17" i="3"/>
  <c r="I11" i="3"/>
  <c r="J14" i="3"/>
  <c r="K14" i="3" s="1"/>
  <c r="H14" i="3" s="1"/>
  <c r="I13" i="3"/>
  <c r="F19" i="3"/>
  <c r="J19" i="3"/>
  <c r="K19" i="3" s="1"/>
  <c r="H19" i="3" s="1"/>
  <c r="I19" i="3"/>
  <c r="L30" i="3"/>
  <c r="K35" i="3"/>
  <c r="H35" i="3" s="1"/>
  <c r="H22" i="3" s="1" a="1"/>
  <c r="H22" i="3" s="1"/>
  <c r="M11" i="3"/>
  <c r="K11" i="3"/>
  <c r="H11" i="3" s="1" a="1"/>
  <c r="H11" i="3" s="1"/>
  <c r="K15" i="3"/>
  <c r="H15" i="3" s="1"/>
  <c r="K16" i="3"/>
  <c r="H16" i="3" s="1"/>
  <c r="M12" i="3"/>
  <c r="K12" i="3"/>
  <c r="H12" i="3" s="1"/>
  <c r="M13" i="3"/>
  <c r="K13" i="3"/>
  <c r="H13" i="3" s="1"/>
  <c r="K17" i="3"/>
  <c r="H17" i="3" s="1"/>
  <c r="M17" i="3"/>
  <c r="K34" i="3"/>
  <c r="H34" i="3" s="1"/>
  <c r="K36" i="3"/>
  <c r="H36" i="3" s="1"/>
  <c r="M34" i="3" l="1"/>
  <c r="M16" i="3"/>
  <c r="M14" i="3"/>
  <c r="M15" i="3"/>
  <c r="H42" i="3"/>
  <c r="H47" i="3"/>
  <c r="L19" i="3"/>
  <c r="M19" i="3"/>
  <c r="J42" i="3" a="1"/>
  <c r="J42" i="3" s="1"/>
  <c r="I42" i="3"/>
  <c r="M35" i="3"/>
  <c r="M36" i="3"/>
  <c r="H3" i="3" a="1"/>
  <c r="H3" i="3" s="1"/>
  <c r="L14" i="3"/>
  <c r="L16" i="3"/>
  <c r="M18" i="3"/>
  <c r="L17" i="3"/>
  <c r="L11" i="3"/>
  <c r="L15" i="3"/>
  <c r="L13" i="3"/>
  <c r="L18" i="3"/>
  <c r="L36" i="3"/>
  <c r="L35" i="3"/>
  <c r="L12" i="3"/>
  <c r="L34" i="3"/>
  <c r="D9" i="2" l="1"/>
  <c r="H41" i="3"/>
  <c r="H46" i="3"/>
  <c r="J41" i="3" a="1"/>
  <c r="J4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COOK, Chris</author>
  </authors>
  <commentList>
    <comment ref="H8" authorId="0" shapeId="0" xr:uid="{CBEE31EC-FFC8-4621-9760-507CE9EBFF6D}">
      <text>
        <r>
          <rPr>
            <sz val="9"/>
            <color indexed="81"/>
            <rFont val="Tahoma"/>
            <family val="2"/>
          </rPr>
          <t xml:space="preserve">Where contributions  are &lt;£15 set contributions to £0. 
Round all contributions so they are a factor of 3, so they can produce termly payments
</t>
        </r>
      </text>
    </comment>
    <comment ref="K8" authorId="0" shapeId="0" xr:uid="{327691DC-F820-47D6-8B26-3580AB0E0983}">
      <text>
        <r>
          <rPr>
            <sz val="9"/>
            <color indexed="81"/>
            <rFont val="Tahoma"/>
            <family val="2"/>
          </rPr>
          <t xml:space="preserve">For incomes &lt;£45k remove VAT contributions
</t>
        </r>
      </text>
    </comment>
    <comment ref="B11" authorId="0" shapeId="0" xr:uid="{C896B5A2-CA4E-4458-ADC9-CECCAC706D2E}">
      <text>
        <r>
          <rPr>
            <sz val="9"/>
            <color indexed="81"/>
            <rFont val="Tahoma"/>
            <family val="2"/>
          </rPr>
          <t xml:space="preserve">Contributions begin at £13,928, but a income of £14,171 is the lowest amount that results in contributions of at least £15.
</t>
        </r>
      </text>
    </comment>
    <comment ref="K26" authorId="0" shapeId="0" xr:uid="{D8EAFB87-9D16-4463-8F88-4D23B27FDD9D}">
      <text>
        <r>
          <rPr>
            <sz val="9"/>
            <color indexed="81"/>
            <rFont val="Tahoma"/>
            <family val="2"/>
          </rPr>
          <t xml:space="preserve">For incomes &lt;£45k remove VAT contributions
</t>
        </r>
      </text>
    </comment>
    <comment ref="H27" authorId="0" shapeId="0" xr:uid="{232F2B76-AB65-4920-A52F-2EEB951EF4A3}">
      <text>
        <r>
          <rPr>
            <sz val="9"/>
            <color indexed="81"/>
            <rFont val="Tahoma"/>
            <family val="2"/>
          </rPr>
          <t xml:space="preserve">Where contributions  are &lt;£15 set contributions to £0. 
Round all contributions so they are a factor of 3, so they can produce termly payments
</t>
        </r>
      </text>
    </comment>
    <comment ref="B30" authorId="0" shapeId="0" xr:uid="{B895BC61-49EE-4314-9955-E6F8642ED9D6}">
      <text>
        <r>
          <rPr>
            <sz val="9"/>
            <color indexed="81"/>
            <rFont val="Tahoma"/>
            <family val="2"/>
          </rPr>
          <t xml:space="preserve">Contributions begin at £17,595, but a income of £17,744 is the lowest amount that results in contributions of at least £15.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<sst xmlns="http://schemas.openxmlformats.org/spreadsheetml/2006/main" count="89" uniqueCount="37">
  <si>
    <t>Scale for one Aided BOARDING Pupil</t>
  </si>
  <si>
    <t>Academic Year</t>
  </si>
  <si>
    <t>TOTAL</t>
  </si>
  <si>
    <t>RELEVANT</t>
  </si>
  <si>
    <t>PARENTS</t>
  </si>
  <si>
    <t>RELEVANT INCOME</t>
  </si>
  <si>
    <t>Bandwidth</t>
  </si>
  <si>
    <t>%age</t>
  </si>
  <si>
    <t>INCOME</t>
  </si>
  <si>
    <t>CONTRIB</t>
  </si>
  <si>
    <t>(Working)</t>
  </si>
  <si>
    <t>Part between</t>
  </si>
  <si>
    <t>Part exceeding</t>
  </si>
  <si>
    <t>Scale for one Aided DAY Pupil</t>
  </si>
  <si>
    <t>Assessable income</t>
  </si>
  <si>
    <r>
      <t xml:space="preserve">Enter the number of </t>
    </r>
    <r>
      <rPr>
        <b/>
        <sz val="14"/>
        <color theme="1"/>
        <rFont val="Calibri"/>
        <family val="2"/>
        <scheme val="minor"/>
      </rPr>
      <t>other</t>
    </r>
    <r>
      <rPr>
        <sz val="14"/>
        <color theme="1"/>
        <rFont val="Calibri"/>
        <family val="2"/>
        <scheme val="minor"/>
      </rPr>
      <t xml:space="preserve"> children you have under the age of 21 and in full time eduction</t>
    </r>
  </si>
  <si>
    <t>&lt;45000</t>
  </si>
  <si>
    <t>45k - 105k</t>
  </si>
  <si>
    <t>105k - 165k</t>
  </si>
  <si>
    <t>&gt; 165k</t>
  </si>
  <si>
    <t>VAT contribution</t>
  </si>
  <si>
    <t>MUSIC AND DANCE SCHEME : PARENTAL CONTRIBUTION CALCULATOR 2026/27</t>
  </si>
  <si>
    <t>2026/27</t>
  </si>
  <si>
    <t>OLD</t>
  </si>
  <si>
    <t>NEW</t>
  </si>
  <si>
    <t>Income threshold that parental contributions begin from</t>
  </si>
  <si>
    <t>(working)</t>
  </si>
  <si>
    <t>Max amount for income bracket</t>
  </si>
  <si>
    <t>Above 45k threshold?</t>
  </si>
  <si>
    <t>Parent contribution</t>
  </si>
  <si>
    <t>QA &lt;45k calc</t>
  </si>
  <si>
    <t>Old vs. new check</t>
  </si>
  <si>
    <t>From</t>
  </si>
  <si>
    <t>To</t>
  </si>
  <si>
    <t>VAT bursary</t>
  </si>
  <si>
    <r>
      <t xml:space="preserve">Enter your </t>
    </r>
    <r>
      <rPr>
        <b/>
        <sz val="14"/>
        <color theme="1"/>
        <rFont val="Calibri"/>
        <family val="2"/>
        <scheme val="minor"/>
      </rPr>
      <t>gross</t>
    </r>
    <r>
      <rPr>
        <sz val="14"/>
        <color theme="1"/>
        <rFont val="Calibri"/>
        <family val="2"/>
        <scheme val="minor"/>
      </rPr>
      <t xml:space="preserve"> household income in GBP £ (before tax,outgoings, any pension deductions)</t>
    </r>
  </si>
  <si>
    <t>Fees payable for one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</si>
</sst>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;\(#,##0\)"/>
    <numFmt numFmtId="166" formatCode="&quot;£&quot;#,##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0"/>
      <name val="MS Sans Serif"/>
      <family val="2"/>
    </font>
    <font>
      <b/>
      <i/>
      <sz val="10"/>
      <name val="MS Sans Serif"/>
      <family val="2"/>
    </font>
    <font>
      <i/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lightGray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3" fillId="2" borderId="0" xfId="1" applyFont="1" applyFill="1"/>
    <xf numFmtId="0" fontId="4" fillId="0" borderId="0" xfId="0" applyFont="1"/>
    <xf numFmtId="165" fontId="4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4" fillId="0" borderId="1" xfId="0" applyNumberFormat="1" applyFont="1" applyBorder="1"/>
    <xf numFmtId="0" fontId="4" fillId="0" borderId="6" xfId="0" applyFont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6" fillId="0" borderId="0" xfId="0" applyFont="1"/>
    <xf numFmtId="0" fontId="7" fillId="0" borderId="0" xfId="0" applyFont="1"/>
    <xf numFmtId="0" fontId="2" fillId="2" borderId="0" xfId="1" applyFont="1" applyFill="1"/>
    <xf numFmtId="0" fontId="8" fillId="0" borderId="0" xfId="0" applyFont="1"/>
    <xf numFmtId="0" fontId="9" fillId="0" borderId="0" xfId="0" applyFont="1"/>
    <xf numFmtId="17" fontId="10" fillId="0" borderId="0" xfId="0" quotePrefix="1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10" xfId="0" applyBorder="1"/>
    <xf numFmtId="2" fontId="0" fillId="0" borderId="11" xfId="0" applyNumberFormat="1" applyBorder="1"/>
    <xf numFmtId="0" fontId="12" fillId="0" borderId="0" xfId="0" applyFont="1"/>
    <xf numFmtId="0" fontId="13" fillId="5" borderId="0" xfId="0" applyFont="1" applyFill="1"/>
    <xf numFmtId="3" fontId="13" fillId="0" borderId="0" xfId="0" applyNumberFormat="1" applyFont="1"/>
    <xf numFmtId="0" fontId="0" fillId="3" borderId="0" xfId="0" applyFill="1"/>
    <xf numFmtId="0" fontId="0" fillId="6" borderId="0" xfId="0" applyFill="1"/>
    <xf numFmtId="0" fontId="1" fillId="6" borderId="0" xfId="0" applyFont="1" applyFill="1" applyAlignment="1">
      <alignment horizontal="center"/>
    </xf>
    <xf numFmtId="0" fontId="1" fillId="0" borderId="0" xfId="0" applyFont="1"/>
    <xf numFmtId="0" fontId="13" fillId="3" borderId="0" xfId="0" applyFont="1" applyFill="1"/>
    <xf numFmtId="0" fontId="13" fillId="0" borderId="0" xfId="0" applyFont="1"/>
    <xf numFmtId="0" fontId="9" fillId="0" borderId="12" xfId="0" applyFont="1" applyBorder="1" applyAlignment="1">
      <alignment wrapText="1"/>
    </xf>
    <xf numFmtId="3" fontId="9" fillId="0" borderId="12" xfId="0" applyNumberFormat="1" applyFont="1" applyBorder="1" applyAlignment="1">
      <alignment vertical="center"/>
    </xf>
    <xf numFmtId="0" fontId="14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16" fillId="0" borderId="0" xfId="0" applyFont="1"/>
    <xf numFmtId="3" fontId="13" fillId="7" borderId="0" xfId="0" applyNumberFormat="1" applyFont="1" applyFill="1" applyProtection="1">
      <protection locked="0"/>
    </xf>
    <xf numFmtId="0" fontId="15" fillId="0" borderId="0" xfId="0" applyFont="1"/>
    <xf numFmtId="3" fontId="0" fillId="0" borderId="0" xfId="0" applyNumberFormat="1"/>
    <xf numFmtId="2" fontId="0" fillId="0" borderId="0" xfId="0" applyNumberFormat="1"/>
    <xf numFmtId="2" fontId="0" fillId="6" borderId="0" xfId="0" applyNumberFormat="1" applyFill="1"/>
    <xf numFmtId="2" fontId="17" fillId="0" borderId="0" xfId="0" applyNumberFormat="1" applyFont="1"/>
    <xf numFmtId="0" fontId="17" fillId="0" borderId="0" xfId="0" applyFont="1"/>
    <xf numFmtId="3" fontId="1" fillId="0" borderId="0" xfId="0" applyNumberFormat="1" applyFont="1"/>
    <xf numFmtId="0" fontId="0" fillId="0" borderId="0" xfId="0" applyAlignment="1">
      <alignment horizontal="right"/>
    </xf>
    <xf numFmtId="0" fontId="15" fillId="6" borderId="0" xfId="0" applyFont="1" applyFill="1"/>
    <xf numFmtId="166" fontId="5" fillId="4" borderId="1" xfId="0" applyNumberFormat="1" applyFont="1" applyFill="1" applyBorder="1"/>
    <xf numFmtId="166" fontId="4" fillId="0" borderId="1" xfId="0" applyNumberFormat="1" applyFont="1" applyBorder="1"/>
  </cellXfs>
  <cellStyles count="2">
    <cellStyle name="Normal" xfId="0" builtinId="0"/>
    <cellStyle name="Normal 2" xfId="1" xr:uid="{6B05FBFD-06D5-4B75-B2BA-EC237BC29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F45F-2221-4A06-8781-DADE3E125EFF}">
  <dimension ref="A1:E22"/>
  <sheetViews>
    <sheetView tabSelected="1" workbookViewId="0">
      <selection activeCell="D6" sqref="D6"/>
    </sheetView>
  </sheetViews>
  <sheetFormatPr defaultColWidth="8.7265625" defaultRowHeight="18.5" x14ac:dyDescent="0.45"/>
  <cols>
    <col min="1" max="1" width="3.26953125" style="4" customWidth="1"/>
    <col min="2" max="2" width="100.453125" style="4" customWidth="1"/>
    <col min="3" max="3" width="2.7265625" style="4" customWidth="1"/>
    <col min="4" max="4" width="15.7265625" style="5" customWidth="1"/>
    <col min="5" max="16384" width="8.7265625" style="4"/>
  </cols>
  <sheetData>
    <row r="1" spans="1:5" ht="19" thickBot="1" x14ac:dyDescent="0.5"/>
    <row r="2" spans="1:5" ht="19" thickBot="1" x14ac:dyDescent="0.5">
      <c r="A2" s="6"/>
      <c r="B2" s="7"/>
      <c r="C2" s="7"/>
      <c r="D2" s="8"/>
      <c r="E2" s="9"/>
    </row>
    <row r="3" spans="1:5" ht="19" thickBot="1" x14ac:dyDescent="0.5">
      <c r="A3" s="10"/>
      <c r="B3" s="4" t="s">
        <v>35</v>
      </c>
      <c r="D3" s="58"/>
      <c r="E3" s="12"/>
    </row>
    <row r="4" spans="1:5" ht="19" thickBot="1" x14ac:dyDescent="0.5">
      <c r="A4" s="10"/>
      <c r="E4" s="12"/>
    </row>
    <row r="5" spans="1:5" ht="19" thickBot="1" x14ac:dyDescent="0.5">
      <c r="A5" s="10"/>
      <c r="B5" s="4" t="s">
        <v>15</v>
      </c>
      <c r="D5" s="11"/>
      <c r="E5" s="12"/>
    </row>
    <row r="6" spans="1:5" ht="19" thickBot="1" x14ac:dyDescent="0.5">
      <c r="A6" s="10"/>
      <c r="E6" s="12"/>
    </row>
    <row r="7" spans="1:5" s="14" customFormat="1" ht="19" thickBot="1" x14ac:dyDescent="0.5">
      <c r="A7" s="13"/>
      <c r="B7" s="14" t="s">
        <v>14</v>
      </c>
      <c r="D7" s="57">
        <f>D3-(2440*D5)</f>
        <v>0</v>
      </c>
      <c r="E7" s="15"/>
    </row>
    <row r="8" spans="1:5" ht="19" thickBot="1" x14ac:dyDescent="0.5">
      <c r="A8" s="10"/>
      <c r="E8" s="12"/>
    </row>
    <row r="9" spans="1:5" s="14" customFormat="1" ht="19" thickBot="1" x14ac:dyDescent="0.5">
      <c r="A9" s="13"/>
      <c r="B9" s="14" t="s">
        <v>36</v>
      </c>
      <c r="D9" s="57">
        <f>(IF('One Aided Place'!H3&gt;34554,34554,'One Aided Place'!H3))</f>
        <v>0</v>
      </c>
      <c r="E9" s="15"/>
    </row>
    <row r="10" spans="1:5" s="14" customFormat="1" ht="19" thickBot="1" x14ac:dyDescent="0.5">
      <c r="A10" s="16"/>
      <c r="B10" s="17"/>
      <c r="C10" s="17"/>
      <c r="D10" s="18"/>
      <c r="E10" s="19"/>
    </row>
    <row r="11" spans="1:5" s="14" customFormat="1" x14ac:dyDescent="0.45">
      <c r="A11" s="4"/>
      <c r="B11" s="4"/>
      <c r="C11" s="4"/>
      <c r="D11" s="5"/>
      <c r="E11" s="4"/>
    </row>
    <row r="14" spans="1:5" x14ac:dyDescent="0.45">
      <c r="B14" s="20"/>
    </row>
    <row r="15" spans="1:5" x14ac:dyDescent="0.45">
      <c r="B15" s="21"/>
    </row>
    <row r="16" spans="1:5" x14ac:dyDescent="0.45">
      <c r="B16" s="21"/>
    </row>
    <row r="17" spans="2:2" x14ac:dyDescent="0.45">
      <c r="B17" s="21"/>
    </row>
    <row r="18" spans="2:2" x14ac:dyDescent="0.45">
      <c r="B18" s="21"/>
    </row>
    <row r="19" spans="2:2" x14ac:dyDescent="0.45">
      <c r="B19" s="21"/>
    </row>
    <row r="20" spans="2:2" x14ac:dyDescent="0.45">
      <c r="B20" s="21"/>
    </row>
    <row r="21" spans="2:2" x14ac:dyDescent="0.45">
      <c r="B21" s="21"/>
    </row>
    <row r="22" spans="2:2" x14ac:dyDescent="0.45">
      <c r="B22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E8BC-49BC-4F60-B61C-D3D258EDB270}">
  <dimension ref="A1:M47"/>
  <sheetViews>
    <sheetView workbookViewId="0">
      <selection activeCell="H3" sqref="H3"/>
    </sheetView>
  </sheetViews>
  <sheetFormatPr defaultRowHeight="14.5" x14ac:dyDescent="0.35"/>
  <cols>
    <col min="6" max="6" width="9" bestFit="1" customWidth="1"/>
    <col min="7" max="7" width="12.1796875" bestFit="1" customWidth="1"/>
    <col min="8" max="8" width="11" bestFit="1" customWidth="1"/>
    <col min="9" max="9" width="10.81640625" bestFit="1" customWidth="1"/>
    <col min="10" max="11" width="9.26953125" bestFit="1" customWidth="1"/>
    <col min="12" max="12" width="11.81640625" bestFit="1" customWidth="1"/>
    <col min="13" max="13" width="15.54296875" bestFit="1" customWidth="1"/>
  </cols>
  <sheetData>
    <row r="1" spans="1:13" ht="15.5" x14ac:dyDescent="0.35">
      <c r="A1" s="23" t="s">
        <v>21</v>
      </c>
      <c r="B1" s="23"/>
      <c r="C1" s="23"/>
      <c r="D1" s="23"/>
      <c r="E1" s="23"/>
      <c r="F1" s="23"/>
      <c r="G1" s="23"/>
      <c r="H1" s="23"/>
      <c r="I1" s="23"/>
      <c r="M1" s="24"/>
    </row>
    <row r="2" spans="1:13" ht="15" thickBot="1" x14ac:dyDescent="0.4">
      <c r="A2" s="25"/>
      <c r="M2" s="24"/>
    </row>
    <row r="3" spans="1:13" ht="15" thickBot="1" x14ac:dyDescent="0.4">
      <c r="A3" s="26" t="s">
        <v>0</v>
      </c>
      <c r="B3" s="27"/>
      <c r="G3" s="28">
        <f>Calculator!D7</f>
        <v>0</v>
      </c>
      <c r="H3" s="29" cm="1">
        <f t="array" ref="H3">_xlfn.IFS(VLOOKUP(G3,$G$10:$H$20,2,0)&lt;0,0,VLOOKUP(G3,$G$10:$H$20,2,0)=0,0,AND(G3&gt;45000,VLOOKUP(G3,$G$10:$H$20,2,0)&gt;0),VLOOKUP(G3,$G$10:$H$20,2,0),AND(G3&gt;0,G3&lt;45000),VLOOKUP(G3,$G$10:$I$20,3,0))</f>
        <v>0</v>
      </c>
      <c r="M3" s="24"/>
    </row>
    <row r="4" spans="1:13" x14ac:dyDescent="0.35">
      <c r="M4" s="30"/>
    </row>
    <row r="5" spans="1:13" x14ac:dyDescent="0.35">
      <c r="A5" t="s">
        <v>1</v>
      </c>
      <c r="B5" s="31" t="s">
        <v>22</v>
      </c>
      <c r="F5" s="32"/>
      <c r="G5" s="33"/>
      <c r="I5" s="34"/>
      <c r="J5" s="34"/>
      <c r="K5" s="34"/>
      <c r="L5" s="34"/>
      <c r="M5" s="35"/>
    </row>
    <row r="6" spans="1:13" x14ac:dyDescent="0.35">
      <c r="E6" s="36"/>
      <c r="G6" s="37" t="s">
        <v>2</v>
      </c>
      <c r="H6" s="38"/>
      <c r="I6" s="34" t="s">
        <v>23</v>
      </c>
      <c r="J6" s="34" t="s">
        <v>24</v>
      </c>
      <c r="K6" s="34" t="s">
        <v>24</v>
      </c>
      <c r="L6" s="34" t="s">
        <v>24</v>
      </c>
      <c r="M6" s="34" t="s">
        <v>24</v>
      </c>
    </row>
    <row r="7" spans="1:13" ht="88.5" x14ac:dyDescent="0.35">
      <c r="A7" s="39" t="s">
        <v>25</v>
      </c>
      <c r="B7" s="40">
        <v>13928.1</v>
      </c>
      <c r="G7" s="37" t="s">
        <v>3</v>
      </c>
      <c r="H7" s="38" t="s">
        <v>4</v>
      </c>
      <c r="I7" s="34" t="s">
        <v>10</v>
      </c>
      <c r="J7" s="34" t="s">
        <v>10</v>
      </c>
      <c r="K7" s="34" t="s">
        <v>10</v>
      </c>
      <c r="L7" s="34" t="s">
        <v>26</v>
      </c>
      <c r="M7" s="34" t="s">
        <v>26</v>
      </c>
    </row>
    <row r="8" spans="1:13" ht="65.5" x14ac:dyDescent="0.35">
      <c r="A8" s="41" t="s">
        <v>5</v>
      </c>
      <c r="D8" t="s">
        <v>6</v>
      </c>
      <c r="E8" s="42" t="s">
        <v>7</v>
      </c>
      <c r="F8" s="43" t="s">
        <v>27</v>
      </c>
      <c r="G8" s="37" t="s">
        <v>8</v>
      </c>
      <c r="H8" s="38" t="s">
        <v>9</v>
      </c>
      <c r="I8" s="44" t="s">
        <v>10</v>
      </c>
      <c r="J8" s="45" t="s">
        <v>28</v>
      </c>
      <c r="K8" s="45" t="s">
        <v>29</v>
      </c>
      <c r="L8" s="35" t="s">
        <v>30</v>
      </c>
      <c r="M8" s="35" t="s">
        <v>31</v>
      </c>
    </row>
    <row r="9" spans="1:13" x14ac:dyDescent="0.35">
      <c r="B9" s="46" t="s">
        <v>32</v>
      </c>
      <c r="C9" s="46" t="s">
        <v>33</v>
      </c>
      <c r="G9" s="33"/>
      <c r="I9" s="34"/>
      <c r="J9" s="34"/>
      <c r="K9" s="34"/>
      <c r="L9" s="34"/>
      <c r="M9" s="35"/>
    </row>
    <row r="10" spans="1:13" x14ac:dyDescent="0.35">
      <c r="B10" s="46">
        <v>-50000</v>
      </c>
      <c r="C10" s="46">
        <v>14170</v>
      </c>
      <c r="G10" s="47">
        <f>IF(AND(B10&lt;$G$3,C10&gt;$G$3),$G$3,0)</f>
        <v>0</v>
      </c>
      <c r="H10">
        <v>0</v>
      </c>
      <c r="I10" s="34"/>
      <c r="J10" s="34"/>
      <c r="K10" s="34"/>
      <c r="L10" s="34"/>
      <c r="M10" s="35"/>
    </row>
    <row r="11" spans="1:13" x14ac:dyDescent="0.35">
      <c r="A11" s="48" t="s">
        <v>11</v>
      </c>
      <c r="B11" s="49">
        <v>14171</v>
      </c>
      <c r="C11" s="49">
        <v>17203.2</v>
      </c>
      <c r="D11" s="49">
        <f>C11-B7</f>
        <v>3275.1000000000004</v>
      </c>
      <c r="E11" s="46">
        <v>7.39</v>
      </c>
      <c r="F11" s="50">
        <f>(C11-B7+1)*E11/100</f>
        <v>242.10379</v>
      </c>
      <c r="G11" s="47">
        <f>IF(AND(B11&lt;$G$3,C11&gt;$G$3),$G$3,0)</f>
        <v>0</v>
      </c>
      <c r="H11" cm="1">
        <f t="array" ref="H11">_xlfn.IFS(ISBLANK(G11),"",
(INT(K11/3)*3)&lt;15,0,
(INT(K11/3)*3)&gt;=15,INT(K11/3)*3)</f>
        <v>0</v>
      </c>
      <c r="I11" s="51">
        <f>((G11-B7+1)*E11/100)</f>
        <v>-1029.2126900000001</v>
      </c>
      <c r="J11" s="34" t="str">
        <f>IF(ISBLANK(G11),"",IF(G11&lt;45000,"&lt;45k","&gt;45k"))</f>
        <v>&lt;45k</v>
      </c>
      <c r="K11" s="34">
        <f>ROUND(IF(J11="&lt;45k",(((G11-B7+1)*E11/100))/1.2,((G11-B7+1)*E11/100)),2)</f>
        <v>-857.68</v>
      </c>
      <c r="L11" s="34" t="b">
        <f>IF(J11="&lt;45k",INT(I11*(20/120))=INT(I11-K11),"")</f>
        <v>1</v>
      </c>
      <c r="M11" s="35" t="str">
        <f>IF(J11="&gt;45k",INT(K11)=INT(I11),"")</f>
        <v/>
      </c>
    </row>
    <row r="12" spans="1:13" x14ac:dyDescent="0.35">
      <c r="A12" s="48" t="s">
        <v>11</v>
      </c>
      <c r="B12" s="49">
        <v>17204.25</v>
      </c>
      <c r="C12" s="49">
        <v>24369.72</v>
      </c>
      <c r="D12" s="49">
        <f t="shared" ref="D12:D17" si="0">C12-B12</f>
        <v>7165.4700000000012</v>
      </c>
      <c r="E12" s="46">
        <v>11.89</v>
      </c>
      <c r="F12" s="50">
        <f>(C12-B12+1)*E12/100</f>
        <v>852.09328300000027</v>
      </c>
      <c r="G12" s="47">
        <f t="shared" ref="G12:G17" si="1">IF(AND(B12&lt;$G$3,C12&gt;$G$3),$G$3,0)</f>
        <v>0</v>
      </c>
      <c r="H12">
        <f>IF(ISBLANK(G12),"",INT(K12/3)*3)</f>
        <v>-1503</v>
      </c>
      <c r="I12" s="51">
        <f>((G12-B12+1)*E12/100)+F11</f>
        <v>-1803.362635</v>
      </c>
      <c r="J12" s="34" t="str">
        <f>IF(ISBLANK(G12),"",IF(G12&lt;45000,"&lt;45k","&gt;45k"))</f>
        <v>&lt;45k</v>
      </c>
      <c r="K12" s="34">
        <f>ROUND(IF(J12="&lt;45k",(((G12-B12+1)*E12/100)+SUM(F11))/1.2,((G12-B12+1)*E12/100)+SUM(F11)),2)</f>
        <v>-1502.8</v>
      </c>
      <c r="L12" s="34" t="b">
        <f t="shared" ref="L12:L19" si="2">IF(J12="&lt;45k",INT(I12*(20/120))=INT(I12-K12),"")</f>
        <v>1</v>
      </c>
      <c r="M12" s="35" t="str">
        <f t="shared" ref="M12:M17" si="3">IF(J12="&gt;45k",INT(K12)=INT(I12),"")</f>
        <v/>
      </c>
    </row>
    <row r="13" spans="1:13" x14ac:dyDescent="0.35">
      <c r="A13" s="48" t="s">
        <v>11</v>
      </c>
      <c r="B13" s="49">
        <v>24369.72</v>
      </c>
      <c r="C13" s="49">
        <v>35840.97</v>
      </c>
      <c r="D13" s="49">
        <f t="shared" si="0"/>
        <v>11471.25</v>
      </c>
      <c r="E13" s="46">
        <v>13.719999999999999</v>
      </c>
      <c r="F13" s="50">
        <f>(C13-B13+1)*E13/100</f>
        <v>1573.9926999999998</v>
      </c>
      <c r="G13" s="47">
        <f t="shared" si="1"/>
        <v>0</v>
      </c>
      <c r="H13">
        <f t="shared" ref="H13:H19" si="4">IF(ISBLANK(G13),"",INT(K13/3)*3)</f>
        <v>-1875</v>
      </c>
      <c r="I13" s="51">
        <f>((G13-B13+1)*E13/100)+F11+F12</f>
        <v>-2249.1913109999996</v>
      </c>
      <c r="J13" s="34" t="str">
        <f t="shared" ref="J13:J19" si="5">IF(ISBLANK(G13),"",IF(G13&lt;45000,"&lt;45k","&gt;45k"))</f>
        <v>&lt;45k</v>
      </c>
      <c r="K13" s="34">
        <f>ROUND(IF(J13="&lt;45k",(((G13-B13+1)*E13/100)+SUM(F11:F12))/1.2,((G13-B13+1)*E13/100)+SUM(F11:F12)),2)</f>
        <v>-1874.33</v>
      </c>
      <c r="L13" s="34" t="b">
        <f t="shared" si="2"/>
        <v>1</v>
      </c>
      <c r="M13" s="35" t="str">
        <f t="shared" si="3"/>
        <v/>
      </c>
    </row>
    <row r="14" spans="1:13" x14ac:dyDescent="0.35">
      <c r="A14" s="48" t="s">
        <v>11</v>
      </c>
      <c r="B14" s="49">
        <v>35840.97</v>
      </c>
      <c r="C14" s="49">
        <v>50175.05</v>
      </c>
      <c r="D14" s="49">
        <f t="shared" si="0"/>
        <v>14334.080000000002</v>
      </c>
      <c r="E14" s="46">
        <v>16.97</v>
      </c>
      <c r="F14" s="50">
        <f t="shared" ref="F14" si="6">(C14-B14+1)*E14/100</f>
        <v>2432.6630759999998</v>
      </c>
      <c r="G14" s="47">
        <f t="shared" si="1"/>
        <v>0</v>
      </c>
      <c r="H14">
        <f t="shared" si="4"/>
        <v>-2847</v>
      </c>
      <c r="I14" s="51">
        <f>((G14-B14+1)*E14/100)+SUM(F11:F13)</f>
        <v>-3413.8531359999997</v>
      </c>
      <c r="J14" s="34" t="str">
        <f t="shared" si="5"/>
        <v>&lt;45k</v>
      </c>
      <c r="K14" s="34">
        <f>ROUND(IF(J14="&lt;45k",(((G14-B14+1)*E14/100)+SUM(F11:F13))/1.2,((G14-B14+1)*E14/100)+SUM(F11:F13)),2)</f>
        <v>-2844.88</v>
      </c>
      <c r="L14" s="34" t="b">
        <f t="shared" si="2"/>
        <v>1</v>
      </c>
      <c r="M14" s="35" t="str">
        <f t="shared" si="3"/>
        <v/>
      </c>
    </row>
    <row r="15" spans="1:13" x14ac:dyDescent="0.35">
      <c r="A15" s="48" t="s">
        <v>11</v>
      </c>
      <c r="B15" s="49">
        <v>50176.1</v>
      </c>
      <c r="C15" s="49">
        <v>71717.509999999995</v>
      </c>
      <c r="D15" s="49">
        <f t="shared" si="0"/>
        <v>21541.409999999996</v>
      </c>
      <c r="E15" s="46">
        <v>20.04</v>
      </c>
      <c r="F15" s="50">
        <f>(C15-B15+1)*E15/100</f>
        <v>4317.0989639999989</v>
      </c>
      <c r="G15" s="47">
        <f t="shared" si="1"/>
        <v>0</v>
      </c>
      <c r="H15">
        <f t="shared" si="4"/>
        <v>-4131</v>
      </c>
      <c r="I15" s="51">
        <f>((G15-B15+1)*E15/100)+SUM(F11:F14)</f>
        <v>-4954.2371909999993</v>
      </c>
      <c r="J15" s="34" t="str">
        <f t="shared" si="5"/>
        <v>&lt;45k</v>
      </c>
      <c r="K15" s="34">
        <f>ROUND(IF(J15="&lt;45k",(((G15-B15+1)*E15/100)+SUM(F11:F14))/1.2,((G15-B15+1)*E15/100)+SUM(F11:F14)),2)</f>
        <v>-4128.53</v>
      </c>
      <c r="L15" s="34" t="b">
        <f t="shared" si="2"/>
        <v>1</v>
      </c>
      <c r="M15" s="35" t="str">
        <f t="shared" si="3"/>
        <v/>
      </c>
    </row>
    <row r="16" spans="1:13" x14ac:dyDescent="0.35">
      <c r="A16" s="48" t="s">
        <v>11</v>
      </c>
      <c r="B16" s="49">
        <v>71717.509999999995</v>
      </c>
      <c r="C16" s="49">
        <v>86019.16</v>
      </c>
      <c r="D16" s="49">
        <f t="shared" si="0"/>
        <v>14301.650000000009</v>
      </c>
      <c r="E16" s="46">
        <v>21.01</v>
      </c>
      <c r="F16" s="50">
        <f>(C16-B16+1)*E16/100</f>
        <v>3004.9867650000024</v>
      </c>
      <c r="G16" s="47">
        <f t="shared" si="1"/>
        <v>0</v>
      </c>
      <c r="H16">
        <f t="shared" si="4"/>
        <v>-4710</v>
      </c>
      <c r="I16" s="51">
        <f>((G16-B16+1)*E16/100)+SUM(F11:F15)</f>
        <v>-5649.6869380000007</v>
      </c>
      <c r="J16" s="34" t="str">
        <f t="shared" si="5"/>
        <v>&lt;45k</v>
      </c>
      <c r="K16" s="34">
        <f>ROUND(IF(J16="&lt;45k",(((G16-B16+1)*E16/100)+SUM(F11:F15))/1.2,((G16-B16+1)*E16/100)+SUM(F11:F15)),2)</f>
        <v>-4708.07</v>
      </c>
      <c r="L16" s="34" t="b">
        <f>IF(J16="&lt;45k",INT(I16*(20/120))=INT(I16-K16),"")</f>
        <v>1</v>
      </c>
      <c r="M16" s="35" t="str">
        <f t="shared" si="3"/>
        <v/>
      </c>
    </row>
    <row r="17" spans="1:13" x14ac:dyDescent="0.35">
      <c r="A17" s="48" t="s">
        <v>11</v>
      </c>
      <c r="B17" s="49">
        <v>86019.08</v>
      </c>
      <c r="C17" s="49">
        <v>115000</v>
      </c>
      <c r="D17" s="49">
        <f t="shared" si="0"/>
        <v>28980.92</v>
      </c>
      <c r="E17" s="46">
        <v>21.94</v>
      </c>
      <c r="F17" s="50">
        <f t="shared" ref="F17" si="7">(C17-B17+1)*E17/100</f>
        <v>6358.6332479999992</v>
      </c>
      <c r="G17" s="47">
        <f t="shared" si="1"/>
        <v>0</v>
      </c>
      <c r="H17">
        <f t="shared" si="4"/>
        <v>-5376</v>
      </c>
      <c r="I17" s="51">
        <f>((G17-B17+1)*E17/100)+SUM(F11:F16)</f>
        <v>-6449.4281740000006</v>
      </c>
      <c r="J17" s="34" t="str">
        <f t="shared" si="5"/>
        <v>&lt;45k</v>
      </c>
      <c r="K17" s="34">
        <f>ROUND(IF(J17="&lt;45k",(((G17-B17+1)*E17/100)+SUM(F11:F16))/1.2,((G17-B17+1)*E17/100)+SUM(F11:F16)),2)</f>
        <v>-5374.52</v>
      </c>
      <c r="L17" s="34" t="b">
        <f>IF(J17="&lt;45k",INT(I17*(20/120))=INT(I17-K17),"")</f>
        <v>1</v>
      </c>
      <c r="M17" s="35" t="str">
        <f t="shared" si="3"/>
        <v/>
      </c>
    </row>
    <row r="18" spans="1:13" x14ac:dyDescent="0.35">
      <c r="A18" s="48" t="s">
        <v>11</v>
      </c>
      <c r="B18" s="49">
        <v>115000</v>
      </c>
      <c r="C18" s="49">
        <v>150000</v>
      </c>
      <c r="D18" s="49">
        <f>C18-B18</f>
        <v>35000</v>
      </c>
      <c r="E18" s="46">
        <v>21.86</v>
      </c>
      <c r="F18" s="50">
        <f>(C18-B18+1)*E18/100</f>
        <v>7651.2186000000002</v>
      </c>
      <c r="G18" s="47">
        <f>IF(AND(B18&lt;$G$3,C18&gt;$G$3),$G$3,0)</f>
        <v>0</v>
      </c>
      <c r="H18">
        <f t="shared" si="4"/>
        <v>-5298</v>
      </c>
      <c r="I18" s="51">
        <f>((G18-B18+1)*E18/100)+SUM(F11:F17)</f>
        <v>-6357.2095740000004</v>
      </c>
      <c r="J18" s="34" t="str">
        <f t="shared" si="5"/>
        <v>&lt;45k</v>
      </c>
      <c r="K18" s="34">
        <f>ROUND(IF(J18="&lt;45k",(((G18-B18+1)*E18/100)+SUM(F11:F17))/1.2,((G18-B18+1)*E18/100)+SUM(F11:F17)),2)</f>
        <v>-5297.67</v>
      </c>
      <c r="L18" s="34" t="b">
        <f>IF(J18="&lt;45k",INT(I18*(20/120))=INT(I18-K18),"")</f>
        <v>1</v>
      </c>
      <c r="M18" s="35" t="str">
        <f>IF(J18="&gt;45k",INT(K18)=INT(I18),"")</f>
        <v/>
      </c>
    </row>
    <row r="19" spans="1:13" x14ac:dyDescent="0.35">
      <c r="A19" s="48" t="s">
        <v>12</v>
      </c>
      <c r="B19" s="49">
        <v>150000</v>
      </c>
      <c r="C19" s="49">
        <v>0</v>
      </c>
      <c r="D19" s="49"/>
      <c r="E19" s="46">
        <v>21.86</v>
      </c>
      <c r="F19" s="50">
        <f>IF(ISNUMBER(G19),(G19-B19+1)*E19/100,"")</f>
        <v>-32789.7814</v>
      </c>
      <c r="G19" s="47">
        <f>IF(B19&lt;G3,G3,0)</f>
        <v>0</v>
      </c>
      <c r="H19">
        <f t="shared" si="4"/>
        <v>-5298</v>
      </c>
      <c r="I19" s="51">
        <f>((G19-B19+1)*E19/100)+SUM(F11:F18)</f>
        <v>-6356.9909740000003</v>
      </c>
      <c r="J19" s="34" t="str">
        <f t="shared" si="5"/>
        <v>&lt;45k</v>
      </c>
      <c r="K19" s="34">
        <f>ROUND(IF(J19="&lt;45k",(((G19-B19+1)*E19/100)+SUM(F11:F18))/1.2,((G19-B19+1)*E19/100)+SUM(F11:F18)),2)</f>
        <v>-5297.49</v>
      </c>
      <c r="L19" s="34" t="b">
        <f t="shared" si="2"/>
        <v>1</v>
      </c>
      <c r="M19" s="35" t="str">
        <f>IF(J19="&gt;45k",INT(K19)=INT(I19),"")</f>
        <v/>
      </c>
    </row>
    <row r="20" spans="1:13" x14ac:dyDescent="0.35">
      <c r="D20" s="49"/>
      <c r="E20" s="36"/>
      <c r="F20" s="52"/>
      <c r="H20" s="49"/>
      <c r="J20" s="24"/>
      <c r="K20" s="24"/>
      <c r="M20" s="24"/>
    </row>
    <row r="21" spans="1:13" ht="15" thickBot="1" x14ac:dyDescent="0.4">
      <c r="D21" s="49"/>
      <c r="J21" s="24"/>
      <c r="K21" s="24"/>
      <c r="M21" s="24"/>
    </row>
    <row r="22" spans="1:13" ht="15" thickBot="1" x14ac:dyDescent="0.4">
      <c r="A22" s="26" t="s">
        <v>13</v>
      </c>
      <c r="D22" s="49"/>
      <c r="G22" s="28">
        <f>Calculator!D7</f>
        <v>0</v>
      </c>
      <c r="H22" s="29" cm="1">
        <f t="array" ref="H22">_xlfn.IFS(VLOOKUP(G22,$G$29:$H$39,2,0)&lt;0,0,VLOOKUP(G22,$G$29:$H$39,2,0)=0,0,AND(G22&gt;45000,VLOOKUP(G22,$G$29:$H$39,2,0)&gt;0),VLOOKUP(G22,$G$29:$H$39,2,0),AND(G22&gt;17744,G22&lt;45000),VLOOKUP(G22,$G$29:$I$39,3,0))</f>
        <v>0</v>
      </c>
      <c r="J22" s="24"/>
      <c r="K22" s="24"/>
      <c r="M22" s="24"/>
    </row>
    <row r="23" spans="1:13" x14ac:dyDescent="0.35">
      <c r="D23" s="49"/>
      <c r="J23" s="24"/>
      <c r="K23" s="24"/>
      <c r="M23" s="24"/>
    </row>
    <row r="24" spans="1:13" x14ac:dyDescent="0.35">
      <c r="A24" t="s">
        <v>1</v>
      </c>
      <c r="B24" s="31" t="s">
        <v>22</v>
      </c>
      <c r="F24" s="32"/>
      <c r="G24" s="33"/>
      <c r="I24" s="34" t="s">
        <v>23</v>
      </c>
      <c r="J24" s="34" t="s">
        <v>24</v>
      </c>
      <c r="K24" s="34" t="s">
        <v>24</v>
      </c>
      <c r="L24" s="34" t="s">
        <v>24</v>
      </c>
      <c r="M24" s="34" t="s">
        <v>24</v>
      </c>
    </row>
    <row r="25" spans="1:13" x14ac:dyDescent="0.35">
      <c r="C25" s="53"/>
      <c r="D25" s="54"/>
      <c r="E25" s="54"/>
      <c r="G25" s="37" t="s">
        <v>2</v>
      </c>
      <c r="H25" s="38"/>
      <c r="I25" s="34" t="s">
        <v>10</v>
      </c>
      <c r="J25" s="34" t="s">
        <v>10</v>
      </c>
      <c r="K25" s="34" t="s">
        <v>10</v>
      </c>
      <c r="L25" s="34" t="s">
        <v>26</v>
      </c>
      <c r="M25" s="34" t="s">
        <v>26</v>
      </c>
    </row>
    <row r="26" spans="1:13" ht="88.5" x14ac:dyDescent="0.35">
      <c r="A26" s="39" t="s">
        <v>25</v>
      </c>
      <c r="B26" s="40">
        <v>17595.419999999998</v>
      </c>
      <c r="D26" s="49"/>
      <c r="G26" s="37" t="s">
        <v>3</v>
      </c>
      <c r="H26" s="38" t="s">
        <v>4</v>
      </c>
      <c r="I26" s="34"/>
      <c r="J26" s="45" t="s">
        <v>28</v>
      </c>
      <c r="K26" s="45" t="s">
        <v>29</v>
      </c>
      <c r="L26" s="35" t="s">
        <v>30</v>
      </c>
      <c r="M26" s="35" t="s">
        <v>31</v>
      </c>
    </row>
    <row r="27" spans="1:13" ht="65.5" x14ac:dyDescent="0.35">
      <c r="A27" s="41" t="s">
        <v>5</v>
      </c>
      <c r="D27" s="49" t="s">
        <v>6</v>
      </c>
      <c r="E27" s="55" t="s">
        <v>7</v>
      </c>
      <c r="F27" s="43" t="s">
        <v>27</v>
      </c>
      <c r="G27" s="37" t="s">
        <v>8</v>
      </c>
      <c r="H27" s="38" t="s">
        <v>9</v>
      </c>
      <c r="I27" s="56" t="s">
        <v>10</v>
      </c>
      <c r="J27" s="34"/>
      <c r="K27" s="34"/>
      <c r="L27" s="34"/>
      <c r="M27" s="34"/>
    </row>
    <row r="28" spans="1:13" x14ac:dyDescent="0.35">
      <c r="D28" s="49"/>
      <c r="G28" s="33"/>
      <c r="I28" s="34"/>
      <c r="J28" s="34" t="str">
        <f>IF(ISBLANK(G28),"",IF(G28&lt;45000,"&lt;45k","&gt;45k"))</f>
        <v/>
      </c>
      <c r="K28" s="34"/>
      <c r="L28" s="34" t="str">
        <f t="shared" ref="L28" si="8">IF(J28="&lt;=45k",ROUND(I28*(20/120),2)=ROUND(I28-K28,2),"")</f>
        <v/>
      </c>
      <c r="M28" s="34"/>
    </row>
    <row r="29" spans="1:13" x14ac:dyDescent="0.35">
      <c r="B29">
        <v>-50000</v>
      </c>
      <c r="C29">
        <v>17743</v>
      </c>
      <c r="D29" s="49"/>
      <c r="G29" s="47">
        <f>IF(AND(B29&lt;$G$22,C29&gt;$G$22),$G$22,0)</f>
        <v>0</v>
      </c>
      <c r="H29">
        <v>0</v>
      </c>
      <c r="I29" s="34"/>
      <c r="J29" s="34"/>
      <c r="K29" s="34"/>
      <c r="L29" s="34"/>
      <c r="M29" s="34"/>
    </row>
    <row r="30" spans="1:13" x14ac:dyDescent="0.35">
      <c r="A30" s="48" t="s">
        <v>11</v>
      </c>
      <c r="B30" s="49">
        <v>17744</v>
      </c>
      <c r="C30" s="49">
        <v>30000</v>
      </c>
      <c r="D30" s="49">
        <f>C30-B26</f>
        <v>12404.580000000002</v>
      </c>
      <c r="E30" s="46">
        <v>12.07</v>
      </c>
      <c r="F30" s="50">
        <f>(C30-B26+1)*E30/100</f>
        <v>1497.3535060000004</v>
      </c>
      <c r="G30" s="47">
        <f>IF(AND(B30&lt;$G$22,C30&gt;$G$22),$G$22,0)</f>
        <v>0</v>
      </c>
      <c r="H30" cm="1">
        <f t="array" ref="H30">_xlfn.IFS(ISBLANK(G30),"",
(INT(K30/3)*3)&lt;15,0,
(INT(K30/3)*3)&gt;=15,INT(K30/3)*3)</f>
        <v>0</v>
      </c>
      <c r="I30" s="51">
        <f>((G30-B26+1)*E30/100)</f>
        <v>-2123.6464940000001</v>
      </c>
      <c r="J30" s="34" t="str">
        <f t="shared" ref="J30:J35" si="9">IF(ISBLANK(G30),"",IF(G30&lt;45000,"&lt;45k","&gt;45k"))</f>
        <v>&lt;45k</v>
      </c>
      <c r="K30" s="34">
        <f>ROUND(IF(J30="&lt;45k",(((G30-B26+1)*E30/100))/1.2,((G30-B26+1)*E30/100)),2)</f>
        <v>-1769.71</v>
      </c>
      <c r="L30" s="34" t="b">
        <f>IF(J30="&lt;45k",INT(I30*(20/120))=INT(I30-K30),"")</f>
        <v>1</v>
      </c>
      <c r="M30" s="34" t="str">
        <f>IF(J30="&gt;45k",INT(K30)=INT(I30),"")</f>
        <v/>
      </c>
    </row>
    <row r="31" spans="1:13" x14ac:dyDescent="0.35">
      <c r="A31" s="48" t="s">
        <v>11</v>
      </c>
      <c r="B31" s="49">
        <v>30000</v>
      </c>
      <c r="C31" s="49">
        <v>50174.52</v>
      </c>
      <c r="D31" s="49">
        <f t="shared" ref="D31:D33" si="10">C31-B31</f>
        <v>20174.519999999997</v>
      </c>
      <c r="E31" s="46">
        <v>11.4</v>
      </c>
      <c r="F31" s="50">
        <f t="shared" ref="F31:F33" si="11">(C31-B31+1)*E31/100</f>
        <v>2300.0092799999998</v>
      </c>
      <c r="G31" s="47">
        <f t="shared" ref="G31:G35" si="12">IF(AND(B31&lt;$G$22,C31&gt;$G$22),$G$22,0)</f>
        <v>0</v>
      </c>
      <c r="H31">
        <f>IF(ISBLANK(G31),"",INT(K31/3)*3)</f>
        <v>-1923</v>
      </c>
      <c r="I31" s="51">
        <f>((G31-B31+1)*E31/100)</f>
        <v>-3419.8860000000004</v>
      </c>
      <c r="J31" s="34"/>
      <c r="K31" s="34">
        <f>ROUND(IF(J31="&lt;45k",(((G31-B31+1)*E31/100)+SUM(F30))/1.2,((G31-B31+1)*E31/100)+SUM(F30)),2)</f>
        <v>-1922.53</v>
      </c>
      <c r="L31" s="34" t="str">
        <f t="shared" ref="L31:L34" si="13">IF(J31="&lt;45k",INT(I31*(20/120))=INT(I31-K31),"")</f>
        <v/>
      </c>
      <c r="M31" s="34" t="str">
        <f t="shared" ref="M31:M36" si="14">IF(J31="&gt;45k",INT(K31)=INT(I31),"")</f>
        <v/>
      </c>
    </row>
    <row r="32" spans="1:13" x14ac:dyDescent="0.35">
      <c r="A32" s="48" t="s">
        <v>11</v>
      </c>
      <c r="B32" s="49">
        <v>50174.52</v>
      </c>
      <c r="C32" s="49">
        <v>57344.67</v>
      </c>
      <c r="D32" s="49">
        <f t="shared" si="10"/>
        <v>7170.1500000000015</v>
      </c>
      <c r="E32" s="46">
        <v>13.22</v>
      </c>
      <c r="F32" s="50">
        <f t="shared" si="11"/>
        <v>948.02603000000022</v>
      </c>
      <c r="G32" s="47">
        <f t="shared" si="12"/>
        <v>0</v>
      </c>
      <c r="H32">
        <f t="shared" ref="H32:H33" si="15">IF(ISBLANK(G32),"",INT(K32/3)*3)</f>
        <v>-2838</v>
      </c>
      <c r="I32" s="51">
        <f>((G32-B32+1)*E32/100)</f>
        <v>-6632.9393440000003</v>
      </c>
      <c r="J32" s="34"/>
      <c r="K32" s="34">
        <f>ROUND(IF(J32="&lt;45k",(((G32-B32+1)*E32/100)+SUM(F30:F31))/1.2,((G32-B32+1)*E32/100)+SUM(F30:F31)),2)</f>
        <v>-2835.58</v>
      </c>
      <c r="L32" s="34" t="str">
        <f t="shared" si="13"/>
        <v/>
      </c>
      <c r="M32" s="34" t="str">
        <f t="shared" si="14"/>
        <v/>
      </c>
    </row>
    <row r="33" spans="1:13" x14ac:dyDescent="0.35">
      <c r="A33" s="48" t="s">
        <v>11</v>
      </c>
      <c r="B33" s="49">
        <v>57344.67</v>
      </c>
      <c r="C33" s="49">
        <v>71349.320000000007</v>
      </c>
      <c r="D33" s="49">
        <f t="shared" si="10"/>
        <v>14004.650000000009</v>
      </c>
      <c r="E33" s="46">
        <v>16.09</v>
      </c>
      <c r="F33" s="50">
        <f t="shared" si="11"/>
        <v>2253.5090850000015</v>
      </c>
      <c r="G33" s="47">
        <f t="shared" si="12"/>
        <v>0</v>
      </c>
      <c r="H33">
        <f t="shared" si="15"/>
        <v>-4482</v>
      </c>
      <c r="I33" s="51">
        <f>((G33-B33+1)*E33/100)</f>
        <v>-9226.5965030000007</v>
      </c>
      <c r="J33" s="34"/>
      <c r="K33" s="34">
        <f>ROUND(IF(J33="&lt;45k",(((G33-B33+1)*E33/100)+SUM(F30:F32))/1.2,((G33-B33+1)*E33/100)+SUM(F30:F32)),2)</f>
        <v>-4481.21</v>
      </c>
      <c r="L33" s="34" t="str">
        <f t="shared" si="13"/>
        <v/>
      </c>
      <c r="M33" s="34" t="str">
        <f t="shared" si="14"/>
        <v/>
      </c>
    </row>
    <row r="34" spans="1:13" x14ac:dyDescent="0.35">
      <c r="A34" s="48" t="s">
        <v>11</v>
      </c>
      <c r="B34" s="49">
        <v>71349.320000000007</v>
      </c>
      <c r="C34" s="49">
        <v>100000</v>
      </c>
      <c r="D34" s="49">
        <f>C34-B34</f>
        <v>28650.679999999993</v>
      </c>
      <c r="E34" s="46">
        <v>16.72</v>
      </c>
      <c r="F34" s="50">
        <f>(C34-B34+1)*E34/100</f>
        <v>4790.5608959999981</v>
      </c>
      <c r="G34" s="47">
        <f t="shared" si="12"/>
        <v>0</v>
      </c>
      <c r="H34">
        <f>IF(ISBLANK(G34),"",INT(K34/3)*3)</f>
        <v>-4110</v>
      </c>
      <c r="I34" s="51">
        <f>((G34-B34+1)*E34/100)+F30</f>
        <v>-10432.085597999998</v>
      </c>
      <c r="J34" s="34" t="str">
        <f t="shared" si="9"/>
        <v>&lt;45k</v>
      </c>
      <c r="K34" s="34">
        <f>ROUND(IF(J34="&lt;45k",(((G34-B34+1)*E34/100)+SUM(F30:F33))/1.2,((G34-B34+1)*E34/100)+SUM(F30:F33)),2)</f>
        <v>-4108.78</v>
      </c>
      <c r="L34" s="34" t="b">
        <f t="shared" si="13"/>
        <v>0</v>
      </c>
      <c r="M34" s="34" t="str">
        <f t="shared" si="14"/>
        <v/>
      </c>
    </row>
    <row r="35" spans="1:13" x14ac:dyDescent="0.35">
      <c r="A35" s="48" t="s">
        <v>11</v>
      </c>
      <c r="B35" s="49">
        <v>100000</v>
      </c>
      <c r="C35" s="49">
        <v>150000</v>
      </c>
      <c r="D35" s="49">
        <f>C35-B35</f>
        <v>50000</v>
      </c>
      <c r="E35" s="46">
        <v>16.68</v>
      </c>
      <c r="F35" s="50">
        <f>(C35-B35+1)*E35/100</f>
        <v>8340.1667999999991</v>
      </c>
      <c r="G35" s="47">
        <f t="shared" si="12"/>
        <v>0</v>
      </c>
      <c r="H35">
        <f t="shared" ref="H35" si="16">IF(ISBLANK(G35),"",INT(K35/3)*3)</f>
        <v>-4077</v>
      </c>
      <c r="I35" s="51">
        <f>((G35-B35+1)*E35/100)+SUM(F30:F34)</f>
        <v>-4890.3744030000016</v>
      </c>
      <c r="J35" s="34" t="str">
        <f t="shared" si="9"/>
        <v>&lt;45k</v>
      </c>
      <c r="K35" s="34">
        <f>ROUND(IF(J35="&lt;45k",(((G35-B35+1)*E35/100)+SUM(F30:F34))/1.2,((G35-B35+1)*E35/100)+SUM(F30:F34)),2)</f>
        <v>-4075.31</v>
      </c>
      <c r="L35" s="34" t="b">
        <f>IF(J35="&lt;45k",INT(I35*(20/120))=INT(I35-K35),"")</f>
        <v>1</v>
      </c>
      <c r="M35" s="34" t="str">
        <f t="shared" si="14"/>
        <v/>
      </c>
    </row>
    <row r="36" spans="1:13" x14ac:dyDescent="0.35">
      <c r="A36" s="48" t="s">
        <v>12</v>
      </c>
      <c r="B36" s="49">
        <v>150000</v>
      </c>
      <c r="C36" s="49"/>
      <c r="D36" s="49"/>
      <c r="E36" s="46">
        <v>16.669999999999998</v>
      </c>
      <c r="G36" s="47">
        <f>IF(B36&lt;G22,G22,0)</f>
        <v>0</v>
      </c>
      <c r="H36">
        <f>IF(ISBLANK(G36),"",INT(K36/3)*3)</f>
        <v>-5313</v>
      </c>
      <c r="I36" s="51">
        <f>((G36-B36+1)*E36/100)+SUM(F30:F35)</f>
        <v>-4875.2077029999964</v>
      </c>
      <c r="J36" s="34" t="str">
        <f>IF(ISBLANK(G36),"",IF(G36&lt;45000,"&lt;45k","&gt;45k"))</f>
        <v>&lt;45k</v>
      </c>
      <c r="K36" s="34">
        <f>ROUND(IF(J36="&lt;45k",(((G36-B36+1)*E36/100)+SUM($F$31:$F$36))/1.2,((G36-B36+1)*E36/100)+SUM($F$31:$F$36)),2)</f>
        <v>-5310.47</v>
      </c>
      <c r="L36" s="34" t="b">
        <f t="shared" ref="L36" si="17">IF(J36="&lt;45k",INT(I36*(20/120))=INT(I36-K36),"")</f>
        <v>0</v>
      </c>
      <c r="M36" s="34" t="str">
        <f t="shared" si="14"/>
        <v/>
      </c>
    </row>
    <row r="37" spans="1:13" x14ac:dyDescent="0.35">
      <c r="K37" s="24"/>
      <c r="M37" s="24"/>
    </row>
    <row r="38" spans="1:13" x14ac:dyDescent="0.35">
      <c r="M38" s="24"/>
    </row>
    <row r="39" spans="1:13" x14ac:dyDescent="0.35">
      <c r="G39" s="2"/>
      <c r="H39" s="1" t="s">
        <v>20</v>
      </c>
      <c r="I39" s="1"/>
      <c r="J39" s="3"/>
    </row>
    <row r="40" spans="1:13" x14ac:dyDescent="0.35">
      <c r="G40" s="2" t="s">
        <v>16</v>
      </c>
      <c r="H40" s="1" t="s">
        <v>17</v>
      </c>
      <c r="I40" s="1" t="s">
        <v>18</v>
      </c>
      <c r="J40" s="22" t="s">
        <v>19</v>
      </c>
    </row>
    <row r="41" spans="1:13" x14ac:dyDescent="0.35">
      <c r="G41" s="2">
        <f>IF(H4&lt;45000,0,0)</f>
        <v>0</v>
      </c>
      <c r="H41" s="1">
        <f>IF(AND(G3&gt;45000,G3&lt;105000),H3*14%,0)</f>
        <v>0</v>
      </c>
      <c r="I41" s="1">
        <f>IF(AND(G3&gt;105000,G3&lt;165000),H3*16%,0)</f>
        <v>0</v>
      </c>
      <c r="J41" s="22" t="e" cm="1">
        <f t="array" ref="J41">_xlfn.IFS(AND(G3&gt;165000,H3&lt;39546),H3*20%,AND(G3&gt;165000,H3&gt;39546),39546*20%)</f>
        <v>#N/A</v>
      </c>
    </row>
    <row r="42" spans="1:13" x14ac:dyDescent="0.35">
      <c r="G42" s="2">
        <f>IF(H4&lt;45000,0,0)</f>
        <v>0</v>
      </c>
      <c r="H42" s="1">
        <f>IF(AND(G3&gt;45000,G3&lt;105000),H22*14%,0)</f>
        <v>0</v>
      </c>
      <c r="I42" s="1">
        <f>IF(AND(G3&gt;105000,G3&lt;165000),H22*16%,0)</f>
        <v>0</v>
      </c>
      <c r="J42" s="3" t="e" cm="1">
        <f t="array" ref="J42">_xlfn.IFS(AND(G3&gt;165000,H22&lt;29316),H22*20%,AND(G3&gt;165000,H22&gt;29316),29316*20%)</f>
        <v>#N/A</v>
      </c>
    </row>
    <row r="44" spans="1:13" x14ac:dyDescent="0.35">
      <c r="H44" t="s">
        <v>34</v>
      </c>
    </row>
    <row r="45" spans="1:13" x14ac:dyDescent="0.35">
      <c r="G45" s="2" t="s">
        <v>16</v>
      </c>
      <c r="H45" s="1" t="s">
        <v>17</v>
      </c>
      <c r="I45" s="1" t="s">
        <v>18</v>
      </c>
      <c r="J45" s="22" t="s">
        <v>19</v>
      </c>
    </row>
    <row r="46" spans="1:13" x14ac:dyDescent="0.35">
      <c r="H46">
        <f>IF(AND(G3&gt;45000,G3&lt;105000),((H3*20%)*30%),0)</f>
        <v>0</v>
      </c>
      <c r="I46">
        <f>IF(AND(G3&gt;105000,G3&lt;165000),((H3*20%)*20%),0)</f>
        <v>0</v>
      </c>
      <c r="J46">
        <v>0</v>
      </c>
    </row>
    <row r="47" spans="1:13" x14ac:dyDescent="0.35">
      <c r="H47">
        <f>IF(AND(G3&gt;45000,G3&lt;105000),((H22*20%)*30%),0)</f>
        <v>0</v>
      </c>
      <c r="I47">
        <f>IF(AND(G3&gt;105000,G3&lt;165000),((H22*20%)*20%),0)</f>
        <v>0</v>
      </c>
      <c r="J47">
        <v>0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0a1317-0d68-4a2e-983c-b09b4b65bf4c">
      <Terms xmlns="http://schemas.microsoft.com/office/infopath/2007/PartnerControls"/>
    </lcf76f155ced4ddcb4097134ff3c332f>
    <TaxCatchAll xmlns="9ea5d194-e8a0-4283-9efb-54ba8515aa6b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D5AE0B2F9E348BBDB4AEA226B4A31" ma:contentTypeVersion="10" ma:contentTypeDescription="Create a new document." ma:contentTypeScope="" ma:versionID="b2f48aaf1fa97d36284a151fcd5bd58e">
  <xsd:schema xmlns:xsd="http://www.w3.org/2001/XMLSchema" xmlns:xs="http://www.w3.org/2001/XMLSchema" xmlns:p="http://schemas.microsoft.com/office/2006/metadata/properties" xmlns:ns2="820a1317-0d68-4a2e-983c-b09b4b65bf4c" xmlns:ns3="9ea5d194-e8a0-4283-9efb-54ba8515aa6b" targetNamespace="http://schemas.microsoft.com/office/2006/metadata/properties" ma:root="true" ma:fieldsID="644a2feabe70b03d2fc39bb881c73cc0" ns2:_="" ns3:_="">
    <xsd:import namespace="820a1317-0d68-4a2e-983c-b09b4b65bf4c"/>
    <xsd:import namespace="9ea5d194-e8a0-4283-9efb-54ba8515aa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a1317-0d68-4a2e-983c-b09b4b65b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bc2cb2-5277-40cf-83eb-6a055aa045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5d194-e8a0-4283-9efb-54ba8515aa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bfe8ac-c3c1-4f8a-bae6-1c158aab828d}" ma:internalName="TaxCatchAll" ma:showField="CatchAllData" ma:web="9ea5d194-e8a0-4283-9efb-54ba8515aa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8713C5-429B-4D3D-B143-5DED1B7F03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75FE6-DE17-492E-A165-648FCFF58156}">
  <ds:schemaRefs>
    <ds:schemaRef ds:uri="820a1317-0d68-4a2e-983c-b09b4b65bf4c"/>
    <ds:schemaRef ds:uri="http://schemas.microsoft.com/office/2006/documentManagement/types"/>
    <ds:schemaRef ds:uri="9ea5d194-e8a0-4283-9efb-54ba8515aa6b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9753D9-C045-4A4C-97FB-EEB02CEAB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a1317-0d68-4a2e-983c-b09b4b65bf4c"/>
    <ds:schemaRef ds:uri="9ea5d194-e8a0-4283-9efb-54ba8515a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One Aided Place</vt:lpstr>
    </vt:vector>
  </TitlesOfParts>
  <Company>Royal Ballet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Pippa Adamson</dc:creator>
  <cp:lastModifiedBy>Patrick Orkney</cp:lastModifiedBy>
  <dcterms:created xsi:type="dcterms:W3CDTF">2022-09-05T10:02:48Z</dcterms:created>
  <dcterms:modified xsi:type="dcterms:W3CDTF">2026-08-19T08:44:38Z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0x01010004BD5AE0B2F9E348BBDB4AEA226B4A31</vt:lpwstr>
  </property>
</Properties>
</file>